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aslovnica" sheetId="1" state="visible" r:id="rId3"/>
    <sheet name="1. Odabir kabela" sheetId="2" state="visible" r:id="rId4"/>
    <sheet name="2. Otpor uzemljenja" sheetId="3" state="visible" r:id="rId5"/>
    <sheet name="3. Rizik od groma" sheetId="4" state="visible" r:id="rId6"/>
    <sheet name="4. Proračun rasvjete" sheetId="5" state="visible" r:id="rId7"/>
    <sheet name="5. Kratki spoj" sheetId="6" state="visible" r:id="rId8"/>
    <sheet name="6. FID – RCD zaštita" sheetId="7" state="visible" r:id="rId9"/>
    <sheet name="7. Vatrodojavna petlja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<sst xmlns="http://schemas.openxmlformats.org/spreadsheetml/2006/main" count="360" uniqueCount="318">
  <si>
    <t xml:space="preserve">MEKTROS d.o.o.</t>
  </si>
  <si>
    <t xml:space="preserve">Projektiranje i nadzor elektrotehničkih instalacija</t>
  </si>
  <si>
    <t xml:space="preserve">mektros.hr  |  luka@mektros.hr</t>
  </si>
  <si>
    <t xml:space="preserve">TEHNIČKI KALKULATORI ZA ELEKTROINSTALACIJE</t>
  </si>
  <si>
    <t xml:space="preserve">Besplatni alati za projektiranje i izvedbu niskonaponskih instalacija</t>
  </si>
  <si>
    <t xml:space="preserve">Kalkulator</t>
  </si>
  <si>
    <t xml:space="preserve">Opis</t>
  </si>
  <si>
    <t xml:space="preserve">Norma</t>
  </si>
  <si>
    <t xml:space="preserve">1. Odabir kabela</t>
  </si>
  <si>
    <t xml:space="preserve">Presjek vodiča, zaštita i pad napona</t>
  </si>
  <si>
    <t xml:space="preserve">HRN HD 60364</t>
  </si>
  <si>
    <t xml:space="preserve">2. Otpor uzemljenja</t>
  </si>
  <si>
    <t xml:space="preserve">Površinski, štapni i prstenasti uzemljivači</t>
  </si>
  <si>
    <t xml:space="preserve">Pogl. 5.18</t>
  </si>
  <si>
    <t xml:space="preserve">3. Rizik od groma</t>
  </si>
  <si>
    <t xml:space="preserve">LPL razina i zahtjevi LPS sustava</t>
  </si>
  <si>
    <t xml:space="preserve">HRN EN 62305</t>
  </si>
  <si>
    <t xml:space="preserve">4. Proračun rasvjete</t>
  </si>
  <si>
    <t xml:space="preserve">Lumen metoda – broj i snaga svjetiljki</t>
  </si>
  <si>
    <t xml:space="preserve">HRN EN 12464</t>
  </si>
  <si>
    <t xml:space="preserve">5. Kratki spoj</t>
  </si>
  <si>
    <t xml:space="preserve">Struje 1ks i 3ks kratkog spoja</t>
  </si>
  <si>
    <t xml:space="preserve">HRN EN 60909</t>
  </si>
  <si>
    <t xml:space="preserve">6. FID / RCD zaštita</t>
  </si>
  <si>
    <t xml:space="preserve">Osjetljivost i tip diferencijalne zaštite</t>
  </si>
  <si>
    <t xml:space="preserve">HRN IEC 60755</t>
  </si>
  <si>
    <t xml:space="preserve">7. Vatrodojavna petlja</t>
  </si>
  <si>
    <t xml:space="preserve">Napon i struja petlje detektora</t>
  </si>
  <si>
    <t xml:space="preserve">HRN EN 54</t>
  </si>
  <si>
    <t xml:space="preserve">Unesite ulazne podatke u plave ćelije. Rezultati se automatski izračunavaju. Plave ćelije = unos  |  Zelene ćelije = rezultati</t>
  </si>
  <si>
    <t xml:space="preserve">MEKTROS d.o.o. – Projektiranje i nadzor elektrotehničkih instalacija</t>
  </si>
  <si>
    <t xml:space="preserve">Rezultati su informativni. Za projekte koji podliježu tehničkom pregledu odgovornost snosi ovlašteni projektant.</t>
  </si>
  <si>
    <t xml:space="preserve">S_norm</t>
  </si>
  <si>
    <t xml:space="preserve">Iz_C_Cu</t>
  </si>
  <si>
    <t xml:space="preserve">Kalkulator odabira kabela</t>
  </si>
  <si>
    <t xml:space="preserve">Presjek vodiča, zaštita i pad napona · HRN HD 60364 · Poglavlje 2.5</t>
  </si>
  <si>
    <t xml:space="preserve">ULAZNI PODACI</t>
  </si>
  <si>
    <t xml:space="preserve">Broj faza</t>
  </si>
  <si>
    <t xml:space="preserve">3 = trofazni (400V) | 1 = jednofazni (230V)</t>
  </si>
  <si>
    <t xml:space="preserve">Snaga trošila P (kW)</t>
  </si>
  <si>
    <t xml:space="preserve">cosφ – faktor snage</t>
  </si>
  <si>
    <t xml:space="preserve">0.95 grijanje | 1.0 rasvjeta | 0.80 motori</t>
  </si>
  <si>
    <t xml:space="preserve">Duljina voda l (m)</t>
  </si>
  <si>
    <t xml:space="preserve">Način polaganja</t>
  </si>
  <si>
    <t xml:space="preserve">C</t>
  </si>
  <si>
    <t xml:space="preserve">B1 cijev/zid | B2 cijev/beton | C direktno | E zrak | D zemlja</t>
  </si>
  <si>
    <t xml:space="preserve">Temperatura okoline (°C)</t>
  </si>
  <si>
    <t xml:space="preserve">Korekcija snopa kabela</t>
  </si>
  <si>
    <t xml:space="preserve">1 kabel | 2 kabela→0.80 | 3→0.70 | 4-5→0.65 | 6-9→0.57</t>
  </si>
  <si>
    <t xml:space="preserve">Dozvoljeni pad napona (%)</t>
  </si>
  <si>
    <t xml:space="preserve">Rasvjeta 3% | Ostali trošili 5% | Industrijski 8%</t>
  </si>
  <si>
    <t xml:space="preserve">Provodnost κ (S·m/mm²)</t>
  </si>
  <si>
    <t xml:space="preserve">Bakar 56 | Aluminij 35</t>
  </si>
  <si>
    <t xml:space="preserve">IZRAČUN</t>
  </si>
  <si>
    <t xml:space="preserve">Napon Un (V)</t>
  </si>
  <si>
    <t xml:space="preserve">Struja opterećenja I (A)</t>
  </si>
  <si>
    <t xml:space="preserve">Presjek po padu napona (mm²)</t>
  </si>
  <si>
    <t xml:space="preserve">Korekcijski faktor ukupni</t>
  </si>
  <si>
    <t xml:space="preserve">REZULTATI</t>
  </si>
  <si>
    <t xml:space="preserve">Presjek po dopuštenoj struji (mm²)</t>
  </si>
  <si>
    <t xml:space="preserve">Odabrani normirani presjek (mm²)</t>
  </si>
  <si>
    <t xml:space="preserve">Pad napona ΔU (V)</t>
  </si>
  <si>
    <t xml:space="preserve">Pad napona ΔU (%)</t>
  </si>
  <si>
    <t xml:space="preserve">Status pada napona</t>
  </si>
  <si>
    <t xml:space="preserve">Preporučeni kabel</t>
  </si>
  <si>
    <t xml:space="preserve">Napomena: Tablica struja temelji se na načinu polaganja C (direktno na zid) za Cu kabel. Za ostale načine polaganja primijenite korekcijski faktor ručno ili konzultirajte tablice HRN HD 60364.</t>
  </si>
  <si>
    <t xml:space="preserve">Proračun otpora uzemljenja</t>
  </si>
  <si>
    <t xml:space="preserve">Površinski, štapni i prstenasti uzemljivači · Poglavlje 5.18</t>
  </si>
  <si>
    <t xml:space="preserve">Otpornost tla ρ (Ω·m)</t>
  </si>
  <si>
    <t xml:space="preserve">Mokra zemlja 8-60 | Oranica 20-300 | Pijesak 200-2000 | Kamen 300-80000</t>
  </si>
  <si>
    <t xml:space="preserve">Duljina uzemljivača l (m)</t>
  </si>
  <si>
    <t xml:space="preserve">Promjer/pol. širine trake d (m)</t>
  </si>
  <si>
    <t xml:space="preserve">Tipično: uže 0.005 m, traka 30×4mm → d=0.015 m</t>
  </si>
  <si>
    <t xml:space="preserve">Promjer prstena D (m)</t>
  </si>
  <si>
    <t xml:space="preserve">Samo za prstenasti uzemljivač</t>
  </si>
  <si>
    <t xml:space="preserve">Maks. dozvoljen R (Ω)</t>
  </si>
  <si>
    <t xml:space="preserve">IT sustavi 1Ω | Industrijski 2Ω | Stambeni 4Ω | Privremeni 10Ω</t>
  </si>
  <si>
    <t xml:space="preserve">REZULTATI – SVE VRSTE UZEMLJIVAČA</t>
  </si>
  <si>
    <t xml:space="preserve">Površinski uzemljivač R (Ω)</t>
  </si>
  <si>
    <t xml:space="preserve">R = (ρ/π·l)·ln(2l/d)</t>
  </si>
  <si>
    <t xml:space="preserve">Štapni uzemljivač R (Ω)</t>
  </si>
  <si>
    <t xml:space="preserve">R = (ρ/2π·l)·ln(4l/d)</t>
  </si>
  <si>
    <t xml:space="preserve">Prstenasti uzemljivač R (Ω)</t>
  </si>
  <si>
    <t xml:space="preserve">R = (ρ/π²·D)·ln(π·D/r)</t>
  </si>
  <si>
    <t xml:space="preserve">Temeljni (≈površinski) R (Ω)</t>
  </si>
  <si>
    <t xml:space="preserve">Iste formule kao površinski, koristiti ρ betona (~300 Ω·m)</t>
  </si>
  <si>
    <t xml:space="preserve">PROVJERA</t>
  </si>
  <si>
    <t xml:space="preserve">Površinski – status</t>
  </si>
  <si>
    <t xml:space="preserve">Štapni – status</t>
  </si>
  <si>
    <t xml:space="preserve">Prstenasti – status</t>
  </si>
  <si>
    <t xml:space="preserve">Paralelni uzemljivači: N paralelnih uzemljivača daje ukupni R ≈ R_pojedinačni / N (za veće razmake). Minimalni razmak između štapnih uzemljivača = duljina štapa.</t>
  </si>
  <si>
    <t xml:space="preserve">Procjena rizika od udara groma</t>
  </si>
  <si>
    <t xml:space="preserve">LPL razina zaštite i zahtjevi LPS sustava · HRN EN 62305-2</t>
  </si>
  <si>
    <t xml:space="preserve">PODACI O OBJEKTU</t>
  </si>
  <si>
    <t xml:space="preserve">Duljina objekta L (m)</t>
  </si>
  <si>
    <t xml:space="preserve">Širina objekta W (m)</t>
  </si>
  <si>
    <t xml:space="preserve">Visina objekta H (m)</t>
  </si>
  <si>
    <t xml:space="preserve">Gustoća udara Ng (udara/km²/god)</t>
  </si>
  <si>
    <t xml:space="preserve">Istra/Dalmacija 0.5 | Kontinentalna HR 1.5 | Gorje 3.0 | Planine 5.0</t>
  </si>
  <si>
    <t xml:space="preserve">Faktor namjene fN</t>
  </si>
  <si>
    <t xml:space="preserve">Stambeni 1 | Poslovni 2 | Industrijski 3 | Bolnica 5 | Eksplozivi 10</t>
  </si>
  <si>
    <t xml:space="preserve">Faktor konstrukcije fK</t>
  </si>
  <si>
    <t xml:space="preserve">AB/metal 1 | Zidana/metal 2 | Drvena/zapaljiva 3</t>
  </si>
  <si>
    <t xml:space="preserve">Faktor sadržaja fS</t>
  </si>
  <si>
    <t xml:space="preserve">Uobičajeni 1 | IT oprema 2 | Kulturni 5 | Eksplozivi 10</t>
  </si>
  <si>
    <t xml:space="preserve">Faktor broja osoba fO</t>
  </si>
  <si>
    <t xml:space="preserve">do 5 osoba: 1 | 6-50: 2 | 51-200: 3 | &gt;200: 5</t>
  </si>
  <si>
    <t xml:space="preserve">Ef. hvatna površina Ae (m²)</t>
  </si>
  <si>
    <t xml:space="preserve">Ae = L·W + 2H·(L+W) + π·H²</t>
  </si>
  <si>
    <t xml:space="preserve">Godišnji broj udara Nd</t>
  </si>
  <si>
    <t xml:space="preserve">Nd = Ng · Ae (Ae u km²)</t>
  </si>
  <si>
    <t xml:space="preserve">Rizični faktor R</t>
  </si>
  <si>
    <t xml:space="preserve">R = fN × fK × fS × fO</t>
  </si>
  <si>
    <t xml:space="preserve">Ponderirani score</t>
  </si>
  <si>
    <t xml:space="preserve">Score = Nd × R</t>
  </si>
  <si>
    <t xml:space="preserve">Preporučena LPL razina</t>
  </si>
  <si>
    <t xml:space="preserve">TABLICA LPL RAZINA I ZAHTJEVI</t>
  </si>
  <si>
    <t xml:space="preserve">LPL razina</t>
  </si>
  <si>
    <t xml:space="preserve">Mreža hvatalice</t>
  </si>
  <si>
    <t xml:space="preserve">Razmak odvoda</t>
  </si>
  <si>
    <t xml:space="preserve">Imax udara</t>
  </si>
  <si>
    <t xml:space="preserve">R uzemljenja</t>
  </si>
  <si>
    <t xml:space="preserve">LPL I</t>
  </si>
  <si>
    <t xml:space="preserve">≤ 5×5 m</t>
  </si>
  <si>
    <t xml:space="preserve">≤ 10 m</t>
  </si>
  <si>
    <t xml:space="preserve">200 kA</t>
  </si>
  <si>
    <t xml:space="preserve">≤ 10 Ω</t>
  </si>
  <si>
    <t xml:space="preserve">LPL II</t>
  </si>
  <si>
    <t xml:space="preserve">≤ 10×10 m</t>
  </si>
  <si>
    <t xml:space="preserve">≤ 15 m</t>
  </si>
  <si>
    <t xml:space="preserve">150 kA</t>
  </si>
  <si>
    <t xml:space="preserve">LPL III</t>
  </si>
  <si>
    <t xml:space="preserve">≤ 15×15 m</t>
  </si>
  <si>
    <t xml:space="preserve">≤ 20 m</t>
  </si>
  <si>
    <t xml:space="preserve">100 kA</t>
  </si>
  <si>
    <t xml:space="preserve">LPL IV</t>
  </si>
  <si>
    <t xml:space="preserve">≤ 20×20 m</t>
  </si>
  <si>
    <t xml:space="preserve">≤ 25 m</t>
  </si>
  <si>
    <t xml:space="preserve">Procjena prema HRN EN 62305-2 (simplified method). Za certifikaciju sustava potrebna je detaljna studija rizika od ovlaštene osobe.</t>
  </si>
  <si>
    <t xml:space="preserve">Proračun rasvjete – Lumen metoda</t>
  </si>
  <si>
    <t xml:space="preserve">Minimalna rasvijetljenost i broj svjetiljki · HRN EN 12464-1 · Poglavlje 13.18</t>
  </si>
  <si>
    <t xml:space="preserve">PODACI O PROSTORIJI I SVJETILJKAMA</t>
  </si>
  <si>
    <t xml:space="preserve">Min. rasvijetljenost Em (lx)</t>
  </si>
  <si>
    <t xml:space="preserve">Hodnik 100 | Ured 300 | Precizni rad 500 | Operacijska 1000</t>
  </si>
  <si>
    <t xml:space="preserve">Duljina prostorije a (m)</t>
  </si>
  <si>
    <t xml:space="preserve">Širina prostorije b (m)</t>
  </si>
  <si>
    <t xml:space="preserve">Visina prostorije h (m)</t>
  </si>
  <si>
    <t xml:space="preserve">Visina radne plohe hR (m)</t>
  </si>
  <si>
    <t xml:space="preserve">Ured 0.85 m | Pod 0.0 m</t>
  </si>
  <si>
    <t xml:space="preserve">Refleksija stropa ρc</t>
  </si>
  <si>
    <t xml:space="preserve">Bijeli 0.70 | Svijetlosivi 0.50 | Tamni 0.30</t>
  </si>
  <si>
    <t xml:space="preserve">Refleksija zidova ρw</t>
  </si>
  <si>
    <t xml:space="preserve">Bijeli 0.50 | Svjetli 0.30 | Tamni 0.10</t>
  </si>
  <si>
    <t xml:space="preserve">Faktor održavanja MF</t>
  </si>
  <si>
    <t xml:space="preserve">LED/čisto 0.80 | Ured 0.70 | Industrijsko 0.60 | Prašnjavo 0.50</t>
  </si>
  <si>
    <t xml:space="preserve">Svjetlosni tok lampe Φ (lm)</t>
  </si>
  <si>
    <t xml:space="preserve">LED 8W→800lm | LED panel 20W→1600lm | LED T8→3500lm</t>
  </si>
  <si>
    <t xml:space="preserve">Snaga jedne svjetiljke W (W)</t>
  </si>
  <si>
    <t xml:space="preserve">Površina poda A (m²)</t>
  </si>
  <si>
    <t xml:space="preserve">Radna visina hm (m)</t>
  </si>
  <si>
    <t xml:space="preserve">Indeks prostorije k</t>
  </si>
  <si>
    <t xml:space="preserve">Faktor iskorištenja Cu</t>
  </si>
  <si>
    <t xml:space="preserve">Potrebni uk. tok F (lm)</t>
  </si>
  <si>
    <t xml:space="preserve">Broj svjetiljki N (kom)</t>
  </si>
  <si>
    <t xml:space="preserve">Izračunata rasvijetljenost (lx)</t>
  </si>
  <si>
    <t xml:space="preserve">Ukupna instalirana snaga (W)</t>
  </si>
  <si>
    <t xml:space="preserve">Specifična snaga (W/m²)</t>
  </si>
  <si>
    <t xml:space="preserve">TABLICA MINIMALNIH RASVIJETLJENOSTI (EN 12464-1)</t>
  </si>
  <si>
    <t xml:space="preserve">Prostorija / aktivnost</t>
  </si>
  <si>
    <t xml:space="preserve">Em min (lx)</t>
  </si>
  <si>
    <t xml:space="preserve">UGR max</t>
  </si>
  <si>
    <t xml:space="preserve">Ra min</t>
  </si>
  <si>
    <t xml:space="preserve">Hodnik, stubište</t>
  </si>
  <si>
    <t xml:space="preserve">Stambena soba</t>
  </si>
  <si>
    <t xml:space="preserve">–</t>
  </si>
  <si>
    <t xml:space="preserve">Kuhinja</t>
  </si>
  <si>
    <t xml:space="preserve">Ured – opći rad</t>
  </si>
  <si>
    <t xml:space="preserve">Ured – CAD / precizni rad</t>
  </si>
  <si>
    <t xml:space="preserve">Učionica</t>
  </si>
  <si>
    <t xml:space="preserve">Čitaonica</t>
  </si>
  <si>
    <t xml:space="preserve">Prodavaonica – opća</t>
  </si>
  <si>
    <t xml:space="preserve">Skladište</t>
  </si>
  <si>
    <t xml:space="preserve">Industrijska radionica</t>
  </si>
  <si>
    <t xml:space="preserve">Operacijska sala</t>
  </si>
  <si>
    <t xml:space="preserve">Parkiranje – unutarnje</t>
  </si>
  <si>
    <t xml:space="preserve">Proračun lumen metodom. Za složene prostore koristiti fotometrijski softver (DIALux, Relux).</t>
  </si>
  <si>
    <t xml:space="preserve">Proračun struje kratkog spoja</t>
  </si>
  <si>
    <t xml:space="preserve">Jednofazni (1ks) i trofazni (3ks) · HRN EN 60909 – simplified method</t>
  </si>
  <si>
    <t xml:space="preserve">Napon mreže Un (V)</t>
  </si>
  <si>
    <t xml:space="preserve">400 V trofazni | 230 V jednofazni</t>
  </si>
  <si>
    <t xml:space="preserve">Naponski faktor c</t>
  </si>
  <si>
    <t xml:space="preserve">Maks. 1.05 | Min. 0.95 | VN mreža 1.10</t>
  </si>
  <si>
    <t xml:space="preserve">Snaga transformatora Str (kVA)</t>
  </si>
  <si>
    <t xml:space="preserve">Naponski pad trafo ukr (%)</t>
  </si>
  <si>
    <t xml:space="preserve">Tipično 4–6% za distribucijske trafo</t>
  </si>
  <si>
    <t xml:space="preserve">Presjek faznog vodiča S (mm²)</t>
  </si>
  <si>
    <t xml:space="preserve">Presjek nultog vodiča SN (mm²)</t>
  </si>
  <si>
    <t xml:space="preserve">Reaktancija voda X (mΩ/m)</t>
  </si>
  <si>
    <t xml:space="preserve">Kabel ≈ 0.08 | Nadzemni vod ≈ 0.35 mΩ/m</t>
  </si>
  <si>
    <t xml:space="preserve">Temperaturni faktor kT</t>
  </si>
  <si>
    <t xml:space="preserve">20°C: 1.0 | 75°C (PVC): 1.24 | 90°C (XLPE): 1.32</t>
  </si>
  <si>
    <t xml:space="preserve">IZRAČUN – IMPEDANCIJE</t>
  </si>
  <si>
    <t xml:space="preserve">Ztrafo (mΩ)</t>
  </si>
  <si>
    <t xml:space="preserve">Ztr = ukr·Un²/Str</t>
  </si>
  <si>
    <t xml:space="preserve">R voda faza (mΩ)</t>
  </si>
  <si>
    <t xml:space="preserve">R = kT·l/(κ·S)</t>
  </si>
  <si>
    <t xml:space="preserve">R voda nul (mΩ)</t>
  </si>
  <si>
    <t xml:space="preserve">RN = kT·l/(κ·SN)</t>
  </si>
  <si>
    <t xml:space="preserve">X voda (mΩ)</t>
  </si>
  <si>
    <t xml:space="preserve">X = x·l</t>
  </si>
  <si>
    <t xml:space="preserve">R3ks ukupni (mΩ)</t>
  </si>
  <si>
    <t xml:space="preserve">R = Rtrafo + Rvod (R/X=0.3 za trafo)</t>
  </si>
  <si>
    <t xml:space="preserve">X3ks ukupni (mΩ)</t>
  </si>
  <si>
    <t xml:space="preserve">X = Xtrafo + Xvod</t>
  </si>
  <si>
    <t xml:space="preserve">Zk3 (mΩ)</t>
  </si>
  <si>
    <t xml:space="preserve">Zk = √(R²+X²)</t>
  </si>
  <si>
    <t xml:space="preserve">Zloop 1ks (mΩ)</t>
  </si>
  <si>
    <t xml:space="preserve">Zloop faza+nul</t>
  </si>
  <si>
    <t xml:space="preserve">REZULTATI – STRUJE KRATKOG SPOJA</t>
  </si>
  <si>
    <t xml:space="preserve">Struja trafo I"k-trafo (kA)</t>
  </si>
  <si>
    <t xml:space="preserve">Struja 3ks I"k3 (kA)</t>
  </si>
  <si>
    <t xml:space="preserve">Struja 1ks I"k1 (kA)</t>
  </si>
  <si>
    <t xml:space="preserve">Provjera zaštite</t>
  </si>
  <si>
    <t xml:space="preserve">Proračun prema HRN EN 60909 – simplified method za radijalne mreže. Za precizne proračune koristiti softver (DIgSILENT, NEPLAN, ETAP).</t>
  </si>
  <si>
    <t xml:space="preserve">Proračun diferencijalne zaštite FID/RCD</t>
  </si>
  <si>
    <t xml:space="preserve">Osjetljivost i tip RCD uređaja · HRN IEC 60755 / HD 60364-5-53 · Poglavlje 5.13</t>
  </si>
  <si>
    <t xml:space="preserve">Duljina kabelske inst. l (m)</t>
  </si>
  <si>
    <t xml:space="preserve">Suma svih kabela iza RCD-a</t>
  </si>
  <si>
    <t xml:space="preserve">1 = jednofazni | 3 = trofazni</t>
  </si>
  <si>
    <t xml:space="preserve">Kapacitivnost C (µF/km/fazi)</t>
  </si>
  <si>
    <t xml:space="preserve">NYM/PVC stari 0.1 | Nova inst. 0.2 | Šticovani 0.4</t>
  </si>
  <si>
    <t xml:space="preserve">Broj priključenih uređaja</t>
  </si>
  <si>
    <t xml:space="preserve">Kompjutori, punjači, inverteri (≈1–3 mA svaki)</t>
  </si>
  <si>
    <t xml:space="preserve">Struja po uređaju (mA)</t>
  </si>
  <si>
    <t xml:space="preserve">Tipično 1–3 mA po uređaju (punjač, PC...)</t>
  </si>
  <si>
    <t xml:space="preserve">Str. propuštanja kabela If_kab (mA)</t>
  </si>
  <si>
    <t xml:space="preserve">If = U·2π·f·C·l   [mA]</t>
  </si>
  <si>
    <t xml:space="preserve">Str. propuštanja uređaja If_ured (mA)</t>
  </si>
  <si>
    <t xml:space="preserve">If_ured = n × I_uređaj</t>
  </si>
  <si>
    <t xml:space="preserve">Ukupna struja propuštanja If (mA)</t>
  </si>
  <si>
    <t xml:space="preserve">If_uk = If_kab + If_ured</t>
  </si>
  <si>
    <t xml:space="preserve">Min. potrebna osjetljivost (mA)</t>
  </si>
  <si>
    <t xml:space="preserve">IΔN_min = 2 × If_uk  (faktor sigurnosti)</t>
  </si>
  <si>
    <t xml:space="preserve">Preporučena osjetljivost IΔN</t>
  </si>
  <si>
    <t xml:space="preserve">TABLICA TIPOVA RCD I OSJETLJIVOSTI</t>
  </si>
  <si>
    <t xml:space="preserve">Tip/osjetljivost</t>
  </si>
  <si>
    <t xml:space="preserve">Karakteristika</t>
  </si>
  <si>
    <t xml:space="preserve">Primjena</t>
  </si>
  <si>
    <t xml:space="preserve">Tip AC</t>
  </si>
  <si>
    <t xml:space="preserve">Samo izmjenična struja kvara</t>
  </si>
  <si>
    <t xml:space="preserve">Stambeni, uobičajeni</t>
  </si>
  <si>
    <t xml:space="preserve">Tip A</t>
  </si>
  <si>
    <t xml:space="preserve">Izmjenična + pulsirajuća DC</t>
  </si>
  <si>
    <t xml:space="preserve">Punjači, inverteri, motori – moderna inst.</t>
  </si>
  <si>
    <t xml:space="preserve">Tip F</t>
  </si>
  <si>
    <t xml:space="preserve">Tip A + visokofrekventne struje</t>
  </si>
  <si>
    <t xml:space="preserve">Frekventni pretvarači</t>
  </si>
  <si>
    <t xml:space="preserve">Tip B</t>
  </si>
  <si>
    <t xml:space="preserve">Svi oblici + glatka DC</t>
  </si>
  <si>
    <t xml:space="preserve">EV punjači, solarne elektrane, medicinska</t>
  </si>
  <si>
    <t xml:space="preserve">Tip S</t>
  </si>
  <si>
    <t xml:space="preserve">Odgođeno okidanje</t>
  </si>
  <si>
    <t xml:space="preserve">Nadređeni RCD u kaskadnom sustavu</t>
  </si>
  <si>
    <t xml:space="preserve">10 mA</t>
  </si>
  <si>
    <t xml:space="preserve">Direktni kontakt</t>
  </si>
  <si>
    <t xml:space="preserve">Medicinski, dječje sobe</t>
  </si>
  <si>
    <t xml:space="preserve">30 mA</t>
  </si>
  <si>
    <t xml:space="preserve">Zaštita od el. udara – STANDARD</t>
  </si>
  <si>
    <t xml:space="preserve">Obvezno: kupaonica, vanjski, gradilište</t>
  </si>
  <si>
    <t xml:space="preserve">100 mA</t>
  </si>
  <si>
    <t xml:space="preserve">Zaštita od požara + selektivnost</t>
  </si>
  <si>
    <t xml:space="preserve">Nadređeni za 30 mA RCD</t>
  </si>
  <si>
    <t xml:space="preserve">300 mA</t>
  </si>
  <si>
    <t xml:space="preserve">Zaštita od požara – industrijska</t>
  </si>
  <si>
    <t xml:space="preserve">Nadređeni za 100+30 mA RCD</t>
  </si>
  <si>
    <t xml:space="preserve">Pravilo odabira: IΔN ≥ 2 × If_uk (faktor sigurnosti 2). U kaskadnom sustavu: podređeni RCD 30 mA trenutni → nadređeni 100 mA selektivni (S).</t>
  </si>
  <si>
    <t xml:space="preserve">Proračun vatrodojavne petlje</t>
  </si>
  <si>
    <t xml:space="preserve">Napon i struja petlje · HRN EN 54 · Poglavlje 8.3.8</t>
  </si>
  <si>
    <t xml:space="preserve">PODACI O CENTRALI I KABELU</t>
  </si>
  <si>
    <t xml:space="preserve">Napon centrale Unom (V DC)</t>
  </si>
  <si>
    <t xml:space="preserve">Tipično 24 V DC</t>
  </si>
  <si>
    <t xml:space="preserve">Min. napon na detektoru Umin (V)</t>
  </si>
  <si>
    <t xml:space="preserve">Tipično 16–18 V za 24 V centralu</t>
  </si>
  <si>
    <t xml:space="preserve">Maks. struja petlje Imax (mA)</t>
  </si>
  <si>
    <t xml:space="preserve">Prema specifikaciji centrale (200–800 mA)</t>
  </si>
  <si>
    <t xml:space="preserve">Presjek vodiča S (mm²)</t>
  </si>
  <si>
    <t xml:space="preserve">Tipično 1.0 mm² (JHSTH, JB-Y(St)Y)</t>
  </si>
  <si>
    <t xml:space="preserve">Duljina kabela petlje l (m)</t>
  </si>
  <si>
    <t xml:space="preserve">Jednožilno (tamo) – ukupna je 2×l</t>
  </si>
  <si>
    <t xml:space="preserve">PODACI O ELEMENTIMA PETLJE</t>
  </si>
  <si>
    <t xml:space="preserve">Broj detektora dima – ionizac.</t>
  </si>
  <si>
    <t xml:space="preserve">Struja mirovanja ≈ 0.10 mA/kom</t>
  </si>
  <si>
    <t xml:space="preserve">Broj detektora dima – optičkih</t>
  </si>
  <si>
    <t xml:space="preserve">Struja mirovanja ≈ 0.15 mA/kom</t>
  </si>
  <si>
    <t xml:space="preserve">Broj detektora topline</t>
  </si>
  <si>
    <t xml:space="preserve">Broj tipkala MCP</t>
  </si>
  <si>
    <t xml:space="preserve">Struja mirovanja ≈ 0.05 mA/kom</t>
  </si>
  <si>
    <t xml:space="preserve">Broj adresabilnih modula</t>
  </si>
  <si>
    <t xml:space="preserve">Struja ≈ 3.0 mA/kom</t>
  </si>
  <si>
    <t xml:space="preserve">Broj sirena / bljeskavica</t>
  </si>
  <si>
    <t xml:space="preserve">Struja po sireni (mA)</t>
  </si>
  <si>
    <t xml:space="preserve">Tipično 30–80 mA</t>
  </si>
  <si>
    <t xml:space="preserve">Struja detektora Idet (mA)</t>
  </si>
  <si>
    <t xml:space="preserve">Σ(n × I_mirovanje)</t>
  </si>
  <si>
    <t xml:space="preserve">Struja sirena Isir (mA)</t>
  </si>
  <si>
    <t xml:space="preserve">n_sirena × I_sirena</t>
  </si>
  <si>
    <t xml:space="preserve">Ukupna struja petlje I (mA)</t>
  </si>
  <si>
    <t xml:space="preserve">Iuk = Idet + Isir</t>
  </si>
  <si>
    <t xml:space="preserve">Otpornost vodiča R (Ω)</t>
  </si>
  <si>
    <t xml:space="preserve">R = 2·l / (κ·S)  [tamo+natrag]</t>
  </si>
  <si>
    <t xml:space="preserve">ΔU = I × R</t>
  </si>
  <si>
    <t xml:space="preserve">Napon na kraju petlje (V)</t>
  </si>
  <si>
    <t xml:space="preserve">U_kraj = Unom – ΔU</t>
  </si>
  <si>
    <t xml:space="preserve">Iskorištenost struje (%)</t>
  </si>
  <si>
    <t xml:space="preserve">I_uk / I_max × 100%</t>
  </si>
  <si>
    <t xml:space="preserve">Status napona</t>
  </si>
  <si>
    <t xml:space="preserve">Status struje</t>
  </si>
  <si>
    <t xml:space="preserve">Kabel petlje mora biti otporan na požar (FE 180): tipično JHSTH 1×2×0.8 mm ili JB-Y(St)Y 1×2×1.0 mm. Preporuka: ne koristiti više od 80% kapaciteta struje petlje.</t>
  </si>
</sst>
</file>

<file path=xl/styles.xml><?xml version="1.0" encoding="utf-8"?>
<styleSheet xmlns="http://schemas.openxmlformats.org/spreadsheetml/2006/main">
  <numFmts count="22">
    <numFmt numFmtId="164" formatCode="General"/>
    <numFmt numFmtId="165" formatCode="0&quot; V&quot;"/>
    <numFmt numFmtId="166" formatCode="0.00&quot; A&quot;"/>
    <numFmt numFmtId="167" formatCode="0.00&quot; mm²&quot;"/>
    <numFmt numFmtId="168" formatCode="0.000"/>
    <numFmt numFmtId="169" formatCode="0.0&quot; mm²&quot;"/>
    <numFmt numFmtId="170" formatCode="0.00&quot; V&quot;"/>
    <numFmt numFmtId="171" formatCode="0.00\%"/>
    <numFmt numFmtId="172" formatCode="0.00&quot; Ω&quot;"/>
    <numFmt numFmtId="173" formatCode="0&quot; m²&quot;"/>
    <numFmt numFmtId="174" formatCode="0.0000"/>
    <numFmt numFmtId="175" formatCode="0.0&quot; m²&quot;"/>
    <numFmt numFmtId="176" formatCode="0.00&quot; m&quot;"/>
    <numFmt numFmtId="177" formatCode="#,##0&quot; lm&quot;"/>
    <numFmt numFmtId="178" formatCode="0&quot; kom&quot;"/>
    <numFmt numFmtId="179" formatCode="0&quot; lx&quot;"/>
    <numFmt numFmtId="180" formatCode="0&quot; W&quot;"/>
    <numFmt numFmtId="181" formatCode="0.0&quot; W/m²&quot;"/>
    <numFmt numFmtId="182" formatCode="0.00&quot; mΩ&quot;"/>
    <numFmt numFmtId="183" formatCode="0.000&quot; kA&quot;"/>
    <numFmt numFmtId="184" formatCode="0.00&quot; mA&quot;"/>
    <numFmt numFmtId="185" formatCode="0.000&quot; Ω&quot;"/>
  </numFmts>
  <fonts count="3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FFFFFF"/>
      <name val="Arial"/>
      <family val="0"/>
      <charset val="1"/>
    </font>
    <font>
      <sz val="13"/>
      <color rgb="FF8A9AB0"/>
      <name val="Arial"/>
      <family val="0"/>
      <charset val="1"/>
    </font>
    <font>
      <sz val="11"/>
      <color rgb="FF8A9AB0"/>
      <name val="Arial"/>
      <family val="0"/>
      <charset val="1"/>
    </font>
    <font>
      <b val="true"/>
      <sz val="14"/>
      <color rgb="FF0A1F3C"/>
      <name val="Arial"/>
      <family val="0"/>
      <charset val="1"/>
    </font>
    <font>
      <sz val="10"/>
      <color rgb="FF4A556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E5AAB"/>
      <name val="Arial"/>
      <family val="0"/>
      <charset val="1"/>
    </font>
    <font>
      <sz val="10"/>
      <color rgb="FF2C3340"/>
      <name val="Arial"/>
      <family val="0"/>
      <charset val="1"/>
    </font>
    <font>
      <i val="true"/>
      <sz val="9"/>
      <color rgb="FF4A5568"/>
      <name val="Arial"/>
      <family val="0"/>
      <charset val="1"/>
    </font>
    <font>
      <i val="true"/>
      <sz val="9"/>
      <color rgb="FF7A4F00"/>
      <name val="Arial"/>
      <family val="0"/>
      <charset val="1"/>
    </font>
    <font>
      <sz val="9"/>
      <color rgb="FF8A9AB0"/>
      <name val="Arial"/>
      <family val="0"/>
      <charset val="1"/>
    </font>
    <font>
      <i val="true"/>
      <sz val="8"/>
      <color rgb="FF8A9AB0"/>
      <name val="Arial"/>
      <family val="0"/>
      <charset val="1"/>
    </font>
    <font>
      <b val="true"/>
      <sz val="8"/>
      <color rgb="FF2C3340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sz val="10"/>
      <color rgb="FF8A9AB0"/>
      <name val="Arial"/>
      <family val="0"/>
      <charset val="1"/>
    </font>
    <font>
      <b val="true"/>
      <sz val="9"/>
      <color rgb="FF1E5AAB"/>
      <name val="Arial"/>
      <family val="0"/>
      <charset val="1"/>
    </font>
    <font>
      <sz val="11"/>
      <color rgb="FF0000FF"/>
      <name val="Arial"/>
      <family val="0"/>
      <charset val="1"/>
    </font>
    <font>
      <sz val="12"/>
      <color rgb="FF2C3340"/>
      <name val="Arial"/>
      <family val="0"/>
      <charset val="1"/>
    </font>
    <font>
      <b val="true"/>
      <sz val="12"/>
      <color rgb="FF1E5AAB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1A3A6B"/>
      <name val="Arial"/>
      <family val="0"/>
      <charset val="1"/>
    </font>
    <font>
      <sz val="12"/>
      <color rgb="FF1E5AAB"/>
      <name val="Arial"/>
      <family val="0"/>
      <charset val="1"/>
    </font>
    <font>
      <b val="true"/>
      <sz val="10"/>
      <color rgb="FF4A5568"/>
      <name val="Arial"/>
      <family val="0"/>
      <charset val="1"/>
    </font>
    <font>
      <b val="true"/>
      <sz val="11"/>
      <color rgb="FF1E5AAB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2C3340"/>
      <name val="Arial"/>
      <family val="0"/>
      <charset val="1"/>
    </font>
    <font>
      <sz val="9"/>
      <name val="Arial"/>
      <family val="0"/>
      <charset val="1"/>
    </font>
    <font>
      <b val="true"/>
      <sz val="12"/>
      <color rgb="FF8B1A1A"/>
      <name val="Arial"/>
      <family val="0"/>
      <charset val="1"/>
    </font>
    <font>
      <b val="true"/>
      <sz val="12"/>
      <color rgb="FF7A4F00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0A1F3C"/>
        <bgColor rgb="FF2C3340"/>
      </patternFill>
    </fill>
    <fill>
      <patternFill patternType="solid">
        <fgColor rgb="FF1A3A6B"/>
        <bgColor rgb="FF2C3340"/>
      </patternFill>
    </fill>
    <fill>
      <patternFill patternType="solid">
        <fgColor rgb="FFE8F0FB"/>
        <bgColor rgb="FFF0F3F7"/>
      </patternFill>
    </fill>
    <fill>
      <patternFill patternType="solid">
        <fgColor rgb="FFFFFFFF"/>
        <bgColor rgb="FFFFF8E6"/>
      </patternFill>
    </fill>
    <fill>
      <patternFill patternType="solid">
        <fgColor rgb="FFF0F3F7"/>
        <bgColor rgb="FFE8F0FB"/>
      </patternFill>
    </fill>
    <fill>
      <patternFill patternType="solid">
        <fgColor rgb="FFFFF8E6"/>
        <bgColor rgb="FFFFFFFF"/>
      </patternFill>
    </fill>
    <fill>
      <patternFill patternType="solid">
        <fgColor rgb="FFFDEAEA"/>
        <bgColor rgb="FFF0F3F7"/>
      </patternFill>
    </fill>
    <fill>
      <patternFill patternType="solid">
        <fgColor rgb="FF8B1A1A"/>
        <bgColor rgb="FF8000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1D9E6"/>
      </left>
      <right style="thin">
        <color rgb="FFD1D9E6"/>
      </right>
      <top style="thin">
        <color rgb="FFD1D9E6"/>
      </top>
      <bottom style="thin">
        <color rgb="FFD1D9E6"/>
      </bottom>
      <diagonal/>
    </border>
    <border diagonalUp="false" diagonalDown="false">
      <left/>
      <right/>
      <top/>
      <bottom style="thin">
        <color rgb="FF1E5AAB"/>
      </bottom>
      <diagonal/>
    </border>
    <border diagonalUp="false" diagonalDown="false">
      <left style="thin">
        <color rgb="FFD1D9E6"/>
      </left>
      <right/>
      <top style="thin">
        <color rgb="FFD1D9E6"/>
      </top>
      <bottom style="thin">
        <color rgb="FFD1D9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1" fillId="6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18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19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4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72" fontId="2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3" fontId="2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2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2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4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7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8" fontId="2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9" fontId="2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0" fontId="2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1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2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3" fontId="31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3" fontId="3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84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4" fontId="2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9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9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9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18" fillId="9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85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4F00"/>
      <rgbColor rgb="FF800080"/>
      <rgbColor rgb="FF008080"/>
      <rgbColor rgb="FFC0C0C0"/>
      <rgbColor rgb="FF808080"/>
      <rgbColor rgb="FF9999FF"/>
      <rgbColor rgb="FF993366"/>
      <rgbColor rgb="FFFFF8E6"/>
      <rgbColor rgb="FFE8F0FB"/>
      <rgbColor rgb="FF660066"/>
      <rgbColor rgb="FFFF8080"/>
      <rgbColor rgb="FF1E5AAB"/>
      <rgbColor rgb="FFD1D9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3F7"/>
      <rgbColor rgb="FFCCFFCC"/>
      <rgbColor rgb="FFFDEA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568"/>
      <rgbColor rgb="FF8A9AB0"/>
      <rgbColor rgb="FF1A3A6B"/>
      <rgbColor rgb="FF339966"/>
      <rgbColor rgb="FF0A1F3C"/>
      <rgbColor rgb="FF333300"/>
      <rgbColor rgb="FF8B1A1A"/>
      <rgbColor rgb="FF993366"/>
      <rgbColor rgb="FF333399"/>
      <rgbColor rgb="FF2C33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7" min="2" style="0" width="22"/>
    <col collapsed="false" customWidth="true" hidden="false" outlineLevel="0" max="8" min="8" style="0" width="4"/>
  </cols>
  <sheetData>
    <row r="1" customFormat="false" ht="18" hidden="false" customHeight="true" outlineLevel="0" collapsed="false"/>
    <row r="2" customFormat="false" ht="18" hidden="false" customHeight="true" outlineLevel="0" collapsed="false"/>
    <row r="3" customFormat="false" ht="18" hidden="false" customHeight="true" outlineLevel="0" collapsed="false"/>
    <row r="4" customFormat="false" ht="18" hidden="false" customHeight="true" outlineLevel="0" collapsed="false"/>
    <row r="5" customFormat="false" ht="54" hidden="false" customHeight="true" outlineLevel="0" collapsed="false">
      <c r="B5" s="1" t="s">
        <v>0</v>
      </c>
      <c r="C5" s="1"/>
      <c r="D5" s="1"/>
      <c r="E5" s="1"/>
      <c r="F5" s="1"/>
      <c r="G5" s="1"/>
    </row>
    <row r="6" customFormat="false" ht="27.75" hidden="false" customHeight="true" outlineLevel="0" collapsed="false">
      <c r="B6" s="2" t="s">
        <v>1</v>
      </c>
      <c r="C6" s="2"/>
      <c r="D6" s="2"/>
      <c r="E6" s="2"/>
      <c r="F6" s="2"/>
      <c r="G6" s="2"/>
    </row>
    <row r="7" customFormat="false" ht="24" hidden="false" customHeight="true" outlineLevel="0" collapsed="false">
      <c r="B7" s="3" t="s">
        <v>2</v>
      </c>
      <c r="C7" s="3"/>
      <c r="D7" s="3"/>
      <c r="E7" s="3"/>
      <c r="F7" s="3"/>
      <c r="G7" s="3"/>
    </row>
    <row r="8" customFormat="false" ht="19.5" hidden="false" customHeight="true" outlineLevel="0" collapsed="false"/>
    <row r="9" customFormat="false" ht="30" hidden="false" customHeight="true" outlineLevel="0" collapsed="false">
      <c r="B9" s="4" t="s">
        <v>3</v>
      </c>
      <c r="C9" s="4"/>
      <c r="D9" s="4"/>
      <c r="E9" s="4"/>
      <c r="F9" s="4"/>
      <c r="G9" s="4"/>
    </row>
    <row r="10" customFormat="false" ht="19.5" hidden="false" customHeight="true" outlineLevel="0" collapsed="false">
      <c r="B10" s="5" t="s">
        <v>4</v>
      </c>
      <c r="C10" s="5"/>
      <c r="D10" s="5"/>
      <c r="E10" s="5"/>
      <c r="F10" s="5"/>
      <c r="G10" s="5"/>
    </row>
    <row r="11" customFormat="false" ht="15.75" hidden="false" customHeight="true" outlineLevel="0" collapsed="false"/>
    <row r="12" customFormat="false" ht="19.5" hidden="false" customHeight="true" outlineLevel="0" collapsed="false">
      <c r="B12" s="6" t="s">
        <v>5</v>
      </c>
      <c r="D12" s="6" t="s">
        <v>6</v>
      </c>
      <c r="E12" s="6"/>
      <c r="F12" s="6" t="s">
        <v>7</v>
      </c>
      <c r="G12" s="6"/>
    </row>
    <row r="13" customFormat="false" ht="21.75" hidden="false" customHeight="true" outlineLevel="0" collapsed="false">
      <c r="B13" s="7" t="s">
        <v>8</v>
      </c>
      <c r="C13" s="7"/>
      <c r="D13" s="8" t="s">
        <v>9</v>
      </c>
      <c r="E13" s="8"/>
      <c r="F13" s="9" t="s">
        <v>10</v>
      </c>
      <c r="G13" s="9"/>
    </row>
    <row r="14" customFormat="false" ht="21.75" hidden="false" customHeight="true" outlineLevel="0" collapsed="false">
      <c r="B14" s="10" t="s">
        <v>11</v>
      </c>
      <c r="C14" s="10"/>
      <c r="D14" s="11" t="s">
        <v>12</v>
      </c>
      <c r="E14" s="11"/>
      <c r="F14" s="12" t="s">
        <v>13</v>
      </c>
      <c r="G14" s="12"/>
    </row>
    <row r="15" customFormat="false" ht="21.75" hidden="false" customHeight="true" outlineLevel="0" collapsed="false">
      <c r="B15" s="7" t="s">
        <v>14</v>
      </c>
      <c r="C15" s="7"/>
      <c r="D15" s="8" t="s">
        <v>15</v>
      </c>
      <c r="E15" s="8"/>
      <c r="F15" s="9" t="s">
        <v>16</v>
      </c>
      <c r="G15" s="9"/>
    </row>
    <row r="16" customFormat="false" ht="21.75" hidden="false" customHeight="true" outlineLevel="0" collapsed="false">
      <c r="B16" s="10" t="s">
        <v>17</v>
      </c>
      <c r="C16" s="10"/>
      <c r="D16" s="11" t="s">
        <v>18</v>
      </c>
      <c r="E16" s="11"/>
      <c r="F16" s="12" t="s">
        <v>19</v>
      </c>
      <c r="G16" s="12"/>
    </row>
    <row r="17" customFormat="false" ht="21.75" hidden="false" customHeight="true" outlineLevel="0" collapsed="false">
      <c r="B17" s="7" t="s">
        <v>20</v>
      </c>
      <c r="C17" s="7"/>
      <c r="D17" s="8" t="s">
        <v>21</v>
      </c>
      <c r="E17" s="8"/>
      <c r="F17" s="9" t="s">
        <v>22</v>
      </c>
      <c r="G17" s="9"/>
    </row>
    <row r="18" customFormat="false" ht="21.75" hidden="false" customHeight="true" outlineLevel="0" collapsed="false">
      <c r="B18" s="10" t="s">
        <v>23</v>
      </c>
      <c r="C18" s="10"/>
      <c r="D18" s="11" t="s">
        <v>24</v>
      </c>
      <c r="E18" s="11"/>
      <c r="F18" s="12" t="s">
        <v>25</v>
      </c>
      <c r="G18" s="12"/>
    </row>
    <row r="19" customFormat="false" ht="21.75" hidden="false" customHeight="true" outlineLevel="0" collapsed="false">
      <c r="B19" s="7" t="s">
        <v>26</v>
      </c>
      <c r="C19" s="7"/>
      <c r="D19" s="8" t="s">
        <v>27</v>
      </c>
      <c r="E19" s="8"/>
      <c r="F19" s="9" t="s">
        <v>28</v>
      </c>
      <c r="G19" s="9"/>
    </row>
    <row r="20" customFormat="false" ht="15.75" hidden="false" customHeight="true" outlineLevel="0" collapsed="false"/>
    <row r="21" customFormat="false" ht="19.5" hidden="false" customHeight="true" outlineLevel="0" collapsed="false">
      <c r="B21" s="13" t="s">
        <v>29</v>
      </c>
      <c r="C21" s="13"/>
      <c r="D21" s="13"/>
      <c r="E21" s="13"/>
      <c r="F21" s="13"/>
      <c r="G21" s="13"/>
    </row>
    <row r="23" customFormat="false" ht="7.5" hidden="false" customHeight="true" outlineLevel="0" collapsed="false"/>
    <row r="24" customFormat="false" ht="18" hidden="false" customHeight="true" outlineLevel="0" collapsed="false">
      <c r="B24" s="14" t="s">
        <v>30</v>
      </c>
      <c r="C24" s="14"/>
      <c r="D24" s="14"/>
      <c r="E24" s="14"/>
      <c r="F24" s="14"/>
      <c r="G24" s="14"/>
    </row>
    <row r="25" customFormat="false" ht="15.75" hidden="false" customHeight="true" outlineLevel="0" collapsed="false">
      <c r="B25" s="15" t="s">
        <v>2</v>
      </c>
      <c r="C25" s="15"/>
      <c r="D25" s="15"/>
      <c r="E25" s="15"/>
      <c r="F25" s="15"/>
      <c r="G25" s="15"/>
    </row>
    <row r="26" customFormat="false" ht="13.5" hidden="false" customHeight="true" outlineLevel="0" collapsed="false">
      <c r="B26" s="16" t="s">
        <v>31</v>
      </c>
      <c r="C26" s="16"/>
      <c r="D26" s="16"/>
      <c r="E26" s="16"/>
      <c r="F26" s="16"/>
      <c r="G26" s="16"/>
    </row>
  </sheetData>
  <mergeCells count="32">
    <mergeCell ref="B5:G5"/>
    <mergeCell ref="B6:G6"/>
    <mergeCell ref="B7:G7"/>
    <mergeCell ref="B9:G9"/>
    <mergeCell ref="B10:G10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1:G21"/>
    <mergeCell ref="B24:G24"/>
    <mergeCell ref="B25:G25"/>
    <mergeCell ref="B26:G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8"/>
    <col collapsed="false" customWidth="true" hidden="false" outlineLevel="0" max="3" min="3" style="0" width="18"/>
    <col collapsed="false" customWidth="true" hidden="false" outlineLevel="0" max="4" min="4" style="0" width="3"/>
    <col collapsed="false" customWidth="true" hidden="false" outlineLevel="0" max="5" min="5" style="0" width="28"/>
    <col collapsed="false" customWidth="true" hidden="false" outlineLevel="0" max="6" min="6" style="0" width="18"/>
    <col collapsed="false" customWidth="true" hidden="false" outlineLevel="0" max="8" min="7" style="0" width="3"/>
    <col collapsed="false" customWidth="true" hidden="false" outlineLevel="0" max="9" min="9" style="0" width="8"/>
    <col collapsed="false" customWidth="true" hidden="false" outlineLevel="0" max="10" min="10" style="0" width="10"/>
  </cols>
  <sheetData>
    <row r="1" customFormat="false" ht="13.5" hidden="false" customHeight="true" outlineLevel="0" collapsed="false">
      <c r="I1" s="17" t="s">
        <v>32</v>
      </c>
      <c r="J1" s="17" t="s">
        <v>33</v>
      </c>
    </row>
    <row r="2" customFormat="false" ht="33.75" hidden="false" customHeight="true" outlineLevel="0" collapsed="false">
      <c r="A2" s="18" t="s">
        <v>34</v>
      </c>
      <c r="B2" s="18"/>
      <c r="C2" s="18"/>
      <c r="D2" s="18"/>
      <c r="E2" s="18"/>
      <c r="F2" s="18"/>
      <c r="G2" s="18"/>
      <c r="H2" s="18"/>
      <c r="I2" s="0" t="n">
        <v>1</v>
      </c>
      <c r="J2" s="0" t="n">
        <v>13</v>
      </c>
    </row>
    <row r="3" customFormat="false" ht="18" hidden="false" customHeight="true" outlineLevel="0" collapsed="false">
      <c r="A3" s="19" t="s">
        <v>35</v>
      </c>
      <c r="B3" s="19"/>
      <c r="C3" s="19"/>
      <c r="D3" s="19"/>
      <c r="E3" s="19"/>
      <c r="F3" s="19"/>
      <c r="G3" s="19"/>
      <c r="H3" s="19"/>
      <c r="I3" s="0" t="n">
        <v>1.5</v>
      </c>
      <c r="J3" s="0" t="n">
        <v>16.5</v>
      </c>
    </row>
    <row r="4" customFormat="false" ht="7.5" hidden="false" customHeight="true" outlineLevel="0" collapsed="false">
      <c r="I4" s="0" t="n">
        <v>2.5</v>
      </c>
      <c r="J4" s="0" t="n">
        <v>23</v>
      </c>
    </row>
    <row r="5" customFormat="false" ht="19.5" hidden="false" customHeight="true" outlineLevel="0" collapsed="false">
      <c r="B5" s="20" t="s">
        <v>36</v>
      </c>
      <c r="C5" s="20"/>
      <c r="D5" s="20"/>
      <c r="E5" s="20"/>
      <c r="F5" s="20"/>
      <c r="I5" s="0" t="n">
        <v>4</v>
      </c>
      <c r="J5" s="0" t="n">
        <v>30</v>
      </c>
    </row>
    <row r="6" customFormat="false" ht="21.75" hidden="false" customHeight="true" outlineLevel="0" collapsed="false">
      <c r="B6" s="21" t="s">
        <v>37</v>
      </c>
      <c r="C6" s="22" t="n">
        <v>3</v>
      </c>
      <c r="E6" s="23" t="s">
        <v>38</v>
      </c>
      <c r="F6" s="23"/>
      <c r="I6" s="0" t="n">
        <v>6</v>
      </c>
      <c r="J6" s="0" t="n">
        <v>38</v>
      </c>
    </row>
    <row r="7" customFormat="false" ht="21.75" hidden="false" customHeight="true" outlineLevel="0" collapsed="false">
      <c r="B7" s="21" t="s">
        <v>39</v>
      </c>
      <c r="C7" s="22" t="n">
        <v>5.5</v>
      </c>
      <c r="I7" s="0" t="n">
        <v>10</v>
      </c>
      <c r="J7" s="0" t="n">
        <v>52</v>
      </c>
    </row>
    <row r="8" customFormat="false" ht="21.75" hidden="false" customHeight="true" outlineLevel="0" collapsed="false">
      <c r="B8" s="21" t="s">
        <v>40</v>
      </c>
      <c r="C8" s="22" t="n">
        <v>0.8</v>
      </c>
      <c r="E8" s="23" t="s">
        <v>41</v>
      </c>
      <c r="F8" s="23"/>
      <c r="I8" s="0" t="n">
        <v>16</v>
      </c>
      <c r="J8" s="0" t="n">
        <v>69</v>
      </c>
    </row>
    <row r="9" customFormat="false" ht="21.75" hidden="false" customHeight="true" outlineLevel="0" collapsed="false">
      <c r="B9" s="21" t="s">
        <v>42</v>
      </c>
      <c r="C9" s="22" t="n">
        <v>30</v>
      </c>
      <c r="I9" s="0" t="n">
        <v>25</v>
      </c>
      <c r="J9" s="0" t="n">
        <v>90</v>
      </c>
    </row>
    <row r="10" customFormat="false" ht="21.75" hidden="false" customHeight="true" outlineLevel="0" collapsed="false">
      <c r="B10" s="21" t="s">
        <v>43</v>
      </c>
      <c r="C10" s="22" t="s">
        <v>44</v>
      </c>
      <c r="E10" s="23" t="s">
        <v>45</v>
      </c>
      <c r="F10" s="23"/>
      <c r="I10" s="0" t="n">
        <v>35</v>
      </c>
      <c r="J10" s="0" t="n">
        <v>111</v>
      </c>
    </row>
    <row r="11" customFormat="false" ht="21.75" hidden="false" customHeight="true" outlineLevel="0" collapsed="false">
      <c r="B11" s="21" t="s">
        <v>46</v>
      </c>
      <c r="C11" s="22" t="n">
        <v>30</v>
      </c>
      <c r="I11" s="0" t="n">
        <v>50</v>
      </c>
      <c r="J11" s="0" t="n">
        <v>133</v>
      </c>
    </row>
    <row r="12" customFormat="false" ht="21.75" hidden="false" customHeight="true" outlineLevel="0" collapsed="false">
      <c r="B12" s="21" t="s">
        <v>47</v>
      </c>
      <c r="C12" s="22" t="n">
        <v>1</v>
      </c>
      <c r="E12" s="23" t="s">
        <v>48</v>
      </c>
      <c r="F12" s="23"/>
      <c r="I12" s="0" t="n">
        <v>70</v>
      </c>
      <c r="J12" s="0" t="n">
        <v>168</v>
      </c>
    </row>
    <row r="13" customFormat="false" ht="21.75" hidden="false" customHeight="true" outlineLevel="0" collapsed="false">
      <c r="B13" s="21" t="s">
        <v>49</v>
      </c>
      <c r="C13" s="22" t="n">
        <v>5</v>
      </c>
      <c r="E13" s="23" t="s">
        <v>50</v>
      </c>
      <c r="F13" s="23"/>
      <c r="I13" s="0" t="n">
        <v>95</v>
      </c>
      <c r="J13" s="0" t="n">
        <v>201</v>
      </c>
    </row>
    <row r="14" customFormat="false" ht="21.75" hidden="false" customHeight="true" outlineLevel="0" collapsed="false">
      <c r="B14" s="21" t="s">
        <v>51</v>
      </c>
      <c r="C14" s="22" t="n">
        <v>56</v>
      </c>
      <c r="E14" s="23" t="s">
        <v>52</v>
      </c>
      <c r="F14" s="23"/>
      <c r="I14" s="0" t="n">
        <v>120</v>
      </c>
      <c r="J14" s="0" t="n">
        <v>232</v>
      </c>
    </row>
    <row r="15" customFormat="false" ht="9.75" hidden="false" customHeight="true" outlineLevel="0" collapsed="false">
      <c r="I15" s="0" t="n">
        <v>150</v>
      </c>
      <c r="J15" s="0" t="n">
        <v>265</v>
      </c>
    </row>
    <row r="16" customFormat="false" ht="19.5" hidden="false" customHeight="true" outlineLevel="0" collapsed="false">
      <c r="B16" s="20" t="s">
        <v>53</v>
      </c>
      <c r="C16" s="20"/>
      <c r="D16" s="20"/>
      <c r="E16" s="20"/>
      <c r="F16" s="20"/>
      <c r="I16" s="0" t="n">
        <v>185</v>
      </c>
      <c r="J16" s="0" t="n">
        <v>300</v>
      </c>
    </row>
    <row r="17" customFormat="false" ht="21.75" hidden="false" customHeight="true" outlineLevel="0" collapsed="false">
      <c r="B17" s="21" t="s">
        <v>54</v>
      </c>
      <c r="C17" s="24" t="n">
        <f aca="false">IF(C6=1,230,400)</f>
        <v>400</v>
      </c>
      <c r="I17" s="0" t="n">
        <v>240</v>
      </c>
      <c r="J17" s="0" t="n">
        <v>351</v>
      </c>
    </row>
    <row r="18" customFormat="false" ht="21.75" hidden="false" customHeight="true" outlineLevel="0" collapsed="false">
      <c r="B18" s="21" t="s">
        <v>55</v>
      </c>
      <c r="C18" s="25" t="n">
        <f aca="false">IF(C6=1,(C7*1000)/(C17*C8),(C7*1000)/(SQRT(3)*C17*C8))</f>
        <v>9.92320775169669</v>
      </c>
    </row>
    <row r="19" customFormat="false" ht="21.75" hidden="false" customHeight="true" outlineLevel="0" collapsed="false">
      <c r="B19" s="21" t="s">
        <v>56</v>
      </c>
      <c r="C19" s="26" t="n">
        <f aca="false">IF(C6=1,(200*C18*C9)/(C14*C13*C17),(100*SQRT(3)*C18*C8*C9)/(C14*C13*C17))</f>
        <v>0.368303571428571</v>
      </c>
    </row>
    <row r="20" customFormat="false" ht="21.75" hidden="false" customHeight="true" outlineLevel="0" collapsed="false">
      <c r="B20" s="21" t="s">
        <v>57</v>
      </c>
      <c r="C20" s="27" t="n">
        <f aca="false">C11*C12</f>
        <v>30</v>
      </c>
    </row>
    <row r="21" customFormat="false" ht="9.75" hidden="false" customHeight="true" outlineLevel="0" collapsed="false"/>
    <row r="22" customFormat="false" ht="19.5" hidden="false" customHeight="true" outlineLevel="0" collapsed="false">
      <c r="B22" s="20" t="s">
        <v>58</v>
      </c>
      <c r="C22" s="20"/>
      <c r="D22" s="20"/>
      <c r="E22" s="20"/>
      <c r="F22" s="20"/>
    </row>
    <row r="23" customFormat="false" ht="15" hidden="false" customHeight="false" outlineLevel="0" collapsed="false">
      <c r="B23" s="21" t="s">
        <v>59</v>
      </c>
      <c r="C23" s="28" t="n">
        <f aca="false">IFERROR(INDEX($I$2:$I$17,MATCH(1,(($J$2:$J$17*C20)&gt;=C18)*1,0)),240)</f>
        <v>1</v>
      </c>
    </row>
    <row r="24" customFormat="false" ht="15" hidden="false" customHeight="false" outlineLevel="0" collapsed="false">
      <c r="B24" s="21" t="s">
        <v>60</v>
      </c>
      <c r="C24" s="29" t="n">
        <f aca="false">IFERROR(INDEX($I$2:$I$17,MATCH(1,($I$2:$I$17&gt;=MAX(C19,C23))*1,0)),240)</f>
        <v>1</v>
      </c>
    </row>
    <row r="25" customFormat="false" ht="15" hidden="false" customHeight="false" outlineLevel="0" collapsed="false">
      <c r="B25" s="21" t="s">
        <v>61</v>
      </c>
      <c r="C25" s="30" t="n">
        <f aca="false">IF(C6=1,(2*C18*C9)/(C14*C24),(SQRT(3)*C18*C8*C9)/(C14*C24))</f>
        <v>7.36607142857143</v>
      </c>
    </row>
    <row r="26" customFormat="false" ht="15" hidden="false" customHeight="false" outlineLevel="0" collapsed="false">
      <c r="B26" s="21" t="s">
        <v>62</v>
      </c>
      <c r="C26" s="31" t="n">
        <f aca="false">C25/C17*100</f>
        <v>1.84151785714286</v>
      </c>
    </row>
    <row r="27" customFormat="false" ht="21.75" hidden="false" customHeight="true" outlineLevel="0" collapsed="false">
      <c r="B27" s="21" t="s">
        <v>63</v>
      </c>
      <c r="C27" s="32" t="str">
        <f aca="false">IF(C26&lt;=C13,"✓ Zadovoljava","✗ Prekoračen – povećaj presjek!")</f>
        <v>✓ Zadovoljava</v>
      </c>
    </row>
    <row r="28" customFormat="false" ht="21.75" hidden="false" customHeight="true" outlineLevel="0" collapsed="false">
      <c r="B28" s="33" t="s">
        <v>64</v>
      </c>
      <c r="C28" s="34" t="str">
        <f aca="false">IF(C14=56,"NYM-J "&amp;IF(C6=1,"3","4")&amp;"×"&amp;TEXT(C24,"0.0")&amp;" mm²","NAYY "&amp;IF(C6=1,"3","4")&amp;"×"&amp;TEXT(C24,"0.0")&amp;" mm²")</f>
        <v>NYM-J 4×1.0 mm²</v>
      </c>
      <c r="D28" s="34"/>
      <c r="E28" s="34"/>
      <c r="F28" s="34"/>
    </row>
    <row r="29" customFormat="false" ht="9.75" hidden="false" customHeight="true" outlineLevel="0" collapsed="false"/>
    <row r="30" customFormat="false" ht="13.5" hidden="false" customHeight="true" outlineLevel="0" collapsed="false">
      <c r="B30" s="35" t="s">
        <v>65</v>
      </c>
      <c r="C30" s="35"/>
      <c r="D30" s="35"/>
      <c r="E30" s="35"/>
      <c r="F30" s="35"/>
    </row>
    <row r="32" customFormat="false" ht="7.5" hidden="false" customHeight="true" outlineLevel="0" collapsed="false"/>
    <row r="33" customFormat="false" ht="18" hidden="false" customHeight="true" outlineLevel="0" collapsed="false">
      <c r="A33" s="14" t="s">
        <v>30</v>
      </c>
      <c r="B33" s="14"/>
      <c r="C33" s="14"/>
      <c r="D33" s="14"/>
      <c r="E33" s="14"/>
      <c r="F33" s="14"/>
      <c r="G33" s="14"/>
      <c r="H33" s="14"/>
    </row>
    <row r="34" customFormat="false" ht="15.75" hidden="false" customHeight="true" outlineLevel="0" collapsed="false">
      <c r="A34" s="15" t="s">
        <v>2</v>
      </c>
      <c r="B34" s="15"/>
      <c r="C34" s="15"/>
      <c r="D34" s="15"/>
      <c r="E34" s="15"/>
      <c r="F34" s="15"/>
      <c r="G34" s="15"/>
      <c r="H34" s="15"/>
    </row>
    <row r="35" customFormat="false" ht="13.5" hidden="false" customHeight="true" outlineLevel="0" collapsed="false">
      <c r="A35" s="16" t="s">
        <v>31</v>
      </c>
      <c r="B35" s="16"/>
      <c r="C35" s="16"/>
      <c r="D35" s="16"/>
      <c r="E35" s="16"/>
      <c r="F35" s="16"/>
      <c r="G35" s="16"/>
      <c r="H35" s="16"/>
    </row>
  </sheetData>
  <mergeCells count="16">
    <mergeCell ref="A2:H2"/>
    <mergeCell ref="A3:H3"/>
    <mergeCell ref="B5:F5"/>
    <mergeCell ref="E6:F6"/>
    <mergeCell ref="E8:F8"/>
    <mergeCell ref="E10:F10"/>
    <mergeCell ref="E12:F12"/>
    <mergeCell ref="E13:F13"/>
    <mergeCell ref="E14:F14"/>
    <mergeCell ref="B16:F16"/>
    <mergeCell ref="B22:F22"/>
    <mergeCell ref="C28:F28"/>
    <mergeCell ref="B30:F30"/>
    <mergeCell ref="A33:H33"/>
    <mergeCell ref="A34:H34"/>
    <mergeCell ref="A35:H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3"/>
    <col collapsed="false" customWidth="true" hidden="false" outlineLevel="0" max="5" min="5" style="0" width="30"/>
    <col collapsed="false" customWidth="true" hidden="false" outlineLevel="0" max="6" min="6" style="0" width="16"/>
    <col collapsed="false" customWidth="true" hidden="false" outlineLevel="0" max="7" min="7" style="0" width="3"/>
  </cols>
  <sheetData>
    <row r="1" customFormat="false" ht="13.5" hidden="false" customHeight="true" outlineLevel="0" collapsed="false"/>
    <row r="2" customFormat="false" ht="33.75" hidden="false" customHeight="true" outlineLevel="0" collapsed="false">
      <c r="A2" s="18" t="s">
        <v>66</v>
      </c>
      <c r="B2" s="18"/>
      <c r="C2" s="18"/>
      <c r="D2" s="18"/>
      <c r="E2" s="18"/>
      <c r="F2" s="18"/>
      <c r="G2" s="18"/>
      <c r="H2" s="18"/>
    </row>
    <row r="3" customFormat="false" ht="18" hidden="false" customHeight="true" outlineLevel="0" collapsed="false">
      <c r="A3" s="19" t="s">
        <v>67</v>
      </c>
      <c r="B3" s="19"/>
      <c r="C3" s="19"/>
      <c r="D3" s="19"/>
      <c r="E3" s="19"/>
      <c r="F3" s="19"/>
      <c r="G3" s="19"/>
      <c r="H3" s="19"/>
    </row>
    <row r="4" customFormat="false" ht="7.5" hidden="false" customHeight="true" outlineLevel="0" collapsed="false"/>
    <row r="5" customFormat="false" ht="19.5" hidden="false" customHeight="true" outlineLevel="0" collapsed="false">
      <c r="B5" s="20" t="s">
        <v>36</v>
      </c>
      <c r="C5" s="20"/>
      <c r="D5" s="20"/>
      <c r="E5" s="20"/>
      <c r="F5" s="20"/>
    </row>
    <row r="6" customFormat="false" ht="21.75" hidden="false" customHeight="true" outlineLevel="0" collapsed="false">
      <c r="B6" s="21" t="s">
        <v>68</v>
      </c>
      <c r="C6" s="22" t="n">
        <v>100</v>
      </c>
      <c r="E6" s="23" t="s">
        <v>69</v>
      </c>
      <c r="F6" s="23"/>
    </row>
    <row r="7" customFormat="false" ht="21.75" hidden="false" customHeight="true" outlineLevel="0" collapsed="false">
      <c r="B7" s="21" t="s">
        <v>70</v>
      </c>
      <c r="C7" s="22" t="n">
        <v>10</v>
      </c>
    </row>
    <row r="8" customFormat="false" ht="21.75" hidden="false" customHeight="true" outlineLevel="0" collapsed="false">
      <c r="B8" s="21" t="s">
        <v>71</v>
      </c>
      <c r="C8" s="22" t="n">
        <v>0.005</v>
      </c>
      <c r="E8" s="23" t="s">
        <v>72</v>
      </c>
      <c r="F8" s="23"/>
    </row>
    <row r="9" customFormat="false" ht="21.75" hidden="false" customHeight="true" outlineLevel="0" collapsed="false">
      <c r="B9" s="21" t="s">
        <v>73</v>
      </c>
      <c r="C9" s="22" t="n">
        <v>10</v>
      </c>
      <c r="E9" s="23" t="s">
        <v>74</v>
      </c>
      <c r="F9" s="23"/>
    </row>
    <row r="10" customFormat="false" ht="21.75" hidden="false" customHeight="true" outlineLevel="0" collapsed="false">
      <c r="B10" s="21" t="s">
        <v>75</v>
      </c>
      <c r="C10" s="22" t="n">
        <v>4</v>
      </c>
      <c r="E10" s="23" t="s">
        <v>76</v>
      </c>
      <c r="F10" s="23"/>
    </row>
    <row r="11" customFormat="false" ht="9.75" hidden="false" customHeight="true" outlineLevel="0" collapsed="false"/>
    <row r="12" customFormat="false" ht="19.5" hidden="false" customHeight="true" outlineLevel="0" collapsed="false">
      <c r="B12" s="20" t="s">
        <v>77</v>
      </c>
      <c r="C12" s="20"/>
      <c r="D12" s="20"/>
      <c r="E12" s="20"/>
      <c r="F12" s="20"/>
    </row>
    <row r="13" customFormat="false" ht="21.75" hidden="false" customHeight="true" outlineLevel="0" collapsed="false">
      <c r="B13" s="21" t="s">
        <v>78</v>
      </c>
      <c r="C13" s="36" t="n">
        <f aca="false">IF(C7&gt;0,(C6/(3.14159*C7))*LN(2*C7/C8),"–")</f>
        <v>26.4008022692396</v>
      </c>
      <c r="E13" s="23" t="s">
        <v>79</v>
      </c>
      <c r="F13" s="23"/>
    </row>
    <row r="14" customFormat="false" ht="21.75" hidden="false" customHeight="true" outlineLevel="0" collapsed="false">
      <c r="B14" s="21" t="s">
        <v>80</v>
      </c>
      <c r="C14" s="36" t="n">
        <f aca="false">IF(C7&gt;0,(C6/(2*3.14159*C7))*LN(4*C7/C8),"–")</f>
        <v>14.3035800671984</v>
      </c>
      <c r="E14" s="23" t="s">
        <v>81</v>
      </c>
      <c r="F14" s="23"/>
    </row>
    <row r="15" customFormat="false" ht="21.75" hidden="false" customHeight="true" outlineLevel="0" collapsed="false">
      <c r="B15" s="21" t="s">
        <v>82</v>
      </c>
      <c r="C15" s="36" t="n">
        <f aca="false">IF(C9&gt;0,(C6/(3.14159^2*C9))*LN(3.14159*C9/(C8/2)),"–")</f>
        <v>9.56349843713712</v>
      </c>
      <c r="E15" s="23" t="s">
        <v>83</v>
      </c>
      <c r="F15" s="23"/>
    </row>
    <row r="16" customFormat="false" ht="21.75" hidden="false" customHeight="true" outlineLevel="0" collapsed="false">
      <c r="B16" s="21" t="s">
        <v>84</v>
      </c>
      <c r="C16" s="36" t="n">
        <f aca="false">IF(C7&gt;0,(C6/(3.14159*C7))*LN(2*C7/C8),"–")</f>
        <v>26.4008022692396</v>
      </c>
      <c r="E16" s="23" t="s">
        <v>85</v>
      </c>
      <c r="F16" s="23"/>
    </row>
    <row r="17" customFormat="false" ht="9.75" hidden="false" customHeight="true" outlineLevel="0" collapsed="false"/>
    <row r="18" customFormat="false" ht="19.5" hidden="false" customHeight="true" outlineLevel="0" collapsed="false">
      <c r="B18" s="20" t="s">
        <v>86</v>
      </c>
      <c r="C18" s="20"/>
      <c r="D18" s="20"/>
      <c r="E18" s="20"/>
      <c r="F18" s="20"/>
    </row>
    <row r="19" customFormat="false" ht="21.75" hidden="false" customHeight="true" outlineLevel="0" collapsed="false">
      <c r="B19" s="21" t="s">
        <v>87</v>
      </c>
      <c r="C19" s="37" t="str">
        <f aca="false">IF(ISNUMBER(C13),IF(C13&lt;=C10,"✓  "&amp;TEXT(C13,"0.00")&amp;" Ω  ≤  "&amp;TEXT(C10,"0")&amp;" Ω  – OK","✗  "&amp;TEXT(C13,"0.00")&amp;" Ω  &gt;  "&amp;TEXT(C10,"0")&amp;" Ω  – povećaj!"),"–")</f>
        <v>✗  26.40 Ω  &gt;  4 Ω  – povećaj!</v>
      </c>
      <c r="D19" s="37"/>
      <c r="E19" s="37"/>
      <c r="F19" s="37"/>
    </row>
    <row r="20" customFormat="false" ht="21.75" hidden="false" customHeight="true" outlineLevel="0" collapsed="false">
      <c r="B20" s="21" t="s">
        <v>88</v>
      </c>
      <c r="C20" s="37" t="str">
        <f aca="false">IF(ISNUMBER(C14),IF(C14&lt;=C10,"✓  "&amp;TEXT(C14,"0.00")&amp;" Ω  ≤  "&amp;TEXT(C10,"0")&amp;" Ω  – OK","✗  "&amp;TEXT(C14,"0.00")&amp;" Ω  &gt;  "&amp;TEXT(C10,"0")&amp;" Ω  – povećaj!"),"–")</f>
        <v>✗  14.30 Ω  &gt;  4 Ω  – povećaj!</v>
      </c>
      <c r="D20" s="37"/>
      <c r="E20" s="37"/>
      <c r="F20" s="37"/>
    </row>
    <row r="21" customFormat="false" ht="21.75" hidden="false" customHeight="true" outlineLevel="0" collapsed="false">
      <c r="B21" s="21" t="s">
        <v>89</v>
      </c>
      <c r="C21" s="37" t="str">
        <f aca="false">IF(ISNUMBER(C15),IF(C15&lt;=C10,"✓  "&amp;TEXT(C15,"0.00")&amp;" Ω  ≤  "&amp;TEXT(C10,"0")&amp;" Ω  – OK","✗  "&amp;TEXT(C15,"0.00")&amp;" Ω  &gt;  "&amp;TEXT(C10,"0")&amp;" Ω  – povećaj!"),"–")</f>
        <v>✗  9.56 Ω  &gt;  4 Ω  – povećaj!</v>
      </c>
      <c r="D21" s="37"/>
      <c r="E21" s="37"/>
      <c r="F21" s="37"/>
    </row>
    <row r="22" customFormat="false" ht="9.75" hidden="false" customHeight="true" outlineLevel="0" collapsed="false"/>
    <row r="23" customFormat="false" ht="13.5" hidden="false" customHeight="true" outlineLevel="0" collapsed="false">
      <c r="B23" s="35" t="s">
        <v>90</v>
      </c>
      <c r="C23" s="35"/>
      <c r="D23" s="35"/>
      <c r="E23" s="35"/>
      <c r="F23" s="35"/>
    </row>
    <row r="25" customFormat="false" ht="7.5" hidden="false" customHeight="true" outlineLevel="0" collapsed="false"/>
    <row r="26" customFormat="false" ht="18" hidden="false" customHeight="true" outlineLevel="0" collapsed="false">
      <c r="A26" s="14" t="s">
        <v>30</v>
      </c>
      <c r="B26" s="14"/>
      <c r="C26" s="14"/>
      <c r="D26" s="14"/>
      <c r="E26" s="14"/>
      <c r="F26" s="14"/>
      <c r="G26" s="14"/>
      <c r="H26" s="14"/>
    </row>
    <row r="27" customFormat="false" ht="15.75" hidden="false" customHeight="true" outlineLevel="0" collapsed="false">
      <c r="A27" s="15" t="s">
        <v>2</v>
      </c>
      <c r="B27" s="15"/>
      <c r="C27" s="15"/>
      <c r="D27" s="15"/>
      <c r="E27" s="15"/>
      <c r="F27" s="15"/>
      <c r="G27" s="15"/>
      <c r="H27" s="15"/>
    </row>
    <row r="28" customFormat="false" ht="13.5" hidden="false" customHeight="true" outlineLevel="0" collapsed="false">
      <c r="A28" s="16" t="s">
        <v>31</v>
      </c>
      <c r="B28" s="16"/>
      <c r="C28" s="16"/>
      <c r="D28" s="16"/>
      <c r="E28" s="16"/>
      <c r="F28" s="16"/>
      <c r="G28" s="16"/>
      <c r="H28" s="16"/>
    </row>
  </sheetData>
  <mergeCells count="20">
    <mergeCell ref="A2:H2"/>
    <mergeCell ref="A3:H3"/>
    <mergeCell ref="B5:F5"/>
    <mergeCell ref="E6:F6"/>
    <mergeCell ref="E8:F8"/>
    <mergeCell ref="E9:F9"/>
    <mergeCell ref="E10:F10"/>
    <mergeCell ref="B12:F12"/>
    <mergeCell ref="E13:F13"/>
    <mergeCell ref="E14:F14"/>
    <mergeCell ref="E15:F15"/>
    <mergeCell ref="E16:F16"/>
    <mergeCell ref="B18:F18"/>
    <mergeCell ref="C19:F19"/>
    <mergeCell ref="C20:F20"/>
    <mergeCell ref="C21:F21"/>
    <mergeCell ref="B23:F23"/>
    <mergeCell ref="A26:H26"/>
    <mergeCell ref="A27:H27"/>
    <mergeCell ref="A28:H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4"/>
    <col collapsed="false" customWidth="true" hidden="false" outlineLevel="0" max="4" min="4" style="0" width="3"/>
    <col collapsed="false" customWidth="true" hidden="false" outlineLevel="0" max="5" min="5" style="0" width="32"/>
    <col collapsed="false" customWidth="true" hidden="false" outlineLevel="0" max="6" min="6" style="0" width="14"/>
    <col collapsed="false" customWidth="true" hidden="false" outlineLevel="0" max="7" min="7" style="0" width="3"/>
  </cols>
  <sheetData>
    <row r="1" customFormat="false" ht="13.5" hidden="false" customHeight="true" outlineLevel="0" collapsed="false"/>
    <row r="2" customFormat="false" ht="33.75" hidden="false" customHeight="true" outlineLevel="0" collapsed="false">
      <c r="A2" s="18" t="s">
        <v>91</v>
      </c>
      <c r="B2" s="18"/>
      <c r="C2" s="18"/>
      <c r="D2" s="18"/>
      <c r="E2" s="18"/>
      <c r="F2" s="18"/>
      <c r="G2" s="18"/>
      <c r="H2" s="18"/>
    </row>
    <row r="3" customFormat="false" ht="18" hidden="false" customHeight="true" outlineLevel="0" collapsed="false">
      <c r="A3" s="19" t="s">
        <v>92</v>
      </c>
      <c r="B3" s="19"/>
      <c r="C3" s="19"/>
      <c r="D3" s="19"/>
      <c r="E3" s="19"/>
      <c r="F3" s="19"/>
      <c r="G3" s="19"/>
      <c r="H3" s="19"/>
    </row>
    <row r="4" customFormat="false" ht="7.5" hidden="false" customHeight="true" outlineLevel="0" collapsed="false"/>
    <row r="5" customFormat="false" ht="19.5" hidden="false" customHeight="true" outlineLevel="0" collapsed="false">
      <c r="B5" s="20" t="s">
        <v>93</v>
      </c>
      <c r="C5" s="20"/>
      <c r="D5" s="20"/>
      <c r="E5" s="20"/>
      <c r="F5" s="20"/>
    </row>
    <row r="6" customFormat="false" ht="21.75" hidden="false" customHeight="true" outlineLevel="0" collapsed="false">
      <c r="B6" s="21" t="s">
        <v>94</v>
      </c>
      <c r="C6" s="22" t="n">
        <v>20</v>
      </c>
    </row>
    <row r="7" customFormat="false" ht="21.75" hidden="false" customHeight="true" outlineLevel="0" collapsed="false">
      <c r="B7" s="21" t="s">
        <v>95</v>
      </c>
      <c r="C7" s="22" t="n">
        <v>12</v>
      </c>
    </row>
    <row r="8" customFormat="false" ht="21.75" hidden="false" customHeight="true" outlineLevel="0" collapsed="false">
      <c r="B8" s="21" t="s">
        <v>96</v>
      </c>
      <c r="C8" s="22" t="n">
        <v>8</v>
      </c>
    </row>
    <row r="9" customFormat="false" ht="21.75" hidden="false" customHeight="true" outlineLevel="0" collapsed="false">
      <c r="B9" s="21" t="s">
        <v>97</v>
      </c>
      <c r="C9" s="22" t="n">
        <v>1.5</v>
      </c>
      <c r="E9" s="23" t="s">
        <v>98</v>
      </c>
      <c r="F9" s="23"/>
    </row>
    <row r="10" customFormat="false" ht="21.75" hidden="false" customHeight="true" outlineLevel="0" collapsed="false">
      <c r="B10" s="21" t="s">
        <v>99</v>
      </c>
      <c r="C10" s="22" t="n">
        <v>2</v>
      </c>
      <c r="E10" s="23" t="s">
        <v>100</v>
      </c>
      <c r="F10" s="23"/>
    </row>
    <row r="11" customFormat="false" ht="21.75" hidden="false" customHeight="true" outlineLevel="0" collapsed="false">
      <c r="B11" s="21" t="s">
        <v>101</v>
      </c>
      <c r="C11" s="22" t="n">
        <v>1</v>
      </c>
      <c r="E11" s="23" t="s">
        <v>102</v>
      </c>
      <c r="F11" s="23"/>
    </row>
    <row r="12" customFormat="false" ht="21.75" hidden="false" customHeight="true" outlineLevel="0" collapsed="false">
      <c r="B12" s="21" t="s">
        <v>103</v>
      </c>
      <c r="C12" s="22" t="n">
        <v>1</v>
      </c>
      <c r="E12" s="23" t="s">
        <v>104</v>
      </c>
      <c r="F12" s="23"/>
    </row>
    <row r="13" customFormat="false" ht="21.75" hidden="false" customHeight="true" outlineLevel="0" collapsed="false">
      <c r="B13" s="21" t="s">
        <v>105</v>
      </c>
      <c r="C13" s="22" t="n">
        <v>2</v>
      </c>
      <c r="E13" s="23" t="s">
        <v>106</v>
      </c>
      <c r="F13" s="23"/>
    </row>
    <row r="14" customFormat="false" ht="9.75" hidden="false" customHeight="true" outlineLevel="0" collapsed="false"/>
    <row r="15" customFormat="false" ht="19.5" hidden="false" customHeight="true" outlineLevel="0" collapsed="false">
      <c r="B15" s="20" t="s">
        <v>58</v>
      </c>
      <c r="C15" s="20"/>
      <c r="D15" s="20"/>
      <c r="E15" s="20"/>
      <c r="F15" s="20"/>
    </row>
    <row r="16" customFormat="false" ht="21.75" hidden="false" customHeight="true" outlineLevel="0" collapsed="false">
      <c r="B16" s="21" t="s">
        <v>107</v>
      </c>
      <c r="C16" s="38" t="n">
        <f aca="false">(C6*C7+2*C8*(C6+C7)+3.14159*C8^2)</f>
        <v>953.06176</v>
      </c>
      <c r="E16" s="23" t="s">
        <v>108</v>
      </c>
      <c r="F16" s="23"/>
    </row>
    <row r="17" customFormat="false" ht="21.75" hidden="false" customHeight="true" outlineLevel="0" collapsed="false">
      <c r="B17" s="21" t="s">
        <v>109</v>
      </c>
      <c r="C17" s="39" t="n">
        <f aca="false">C9*C16/1000000</f>
        <v>0.00142959264</v>
      </c>
      <c r="E17" s="23" t="s">
        <v>110</v>
      </c>
      <c r="F17" s="23"/>
    </row>
    <row r="18" customFormat="false" ht="21.75" hidden="false" customHeight="true" outlineLevel="0" collapsed="false">
      <c r="B18" s="21" t="s">
        <v>111</v>
      </c>
      <c r="C18" s="39" t="n">
        <f aca="false">C10*C11*C12*C13</f>
        <v>4</v>
      </c>
      <c r="E18" s="23" t="s">
        <v>112</v>
      </c>
      <c r="F18" s="23"/>
    </row>
    <row r="19" customFormat="false" ht="21.75" hidden="false" customHeight="true" outlineLevel="0" collapsed="false">
      <c r="B19" s="21" t="s">
        <v>113</v>
      </c>
      <c r="C19" s="40" t="n">
        <f aca="false">C17*C18</f>
        <v>0.00571837056</v>
      </c>
      <c r="E19" s="23" t="s">
        <v>114</v>
      </c>
      <c r="F19" s="23"/>
    </row>
    <row r="20" customFormat="false" ht="30" hidden="false" customHeight="true" outlineLevel="0" collapsed="false">
      <c r="B20" s="41" t="s">
        <v>115</v>
      </c>
      <c r="C20" s="42" t="str">
        <f aca="false">IF(C19&gt;0.5,"LPL I – Najstroža zaštita (mreža ≤5×5 m, odvodi ≤10 m)",IF(C19&gt;0.1,"LPL II – (mreža ≤10×10 m, odvodi ≤15 m)",IF(C19&gt;0.02,"LPL III – (mreža ≤15×15 m, odvodi ≤20 m)",IF(C19&gt;0.005,"LPL IV – (mreža ≤20×20 m, odvodi ≤25 m)","LPS nije obvezan – preporuča se SPD zaštita"))))</f>
        <v>LPL IV – (mreža ≤20×20 m, odvodi ≤25 m)</v>
      </c>
      <c r="D20" s="42"/>
      <c r="E20" s="42"/>
      <c r="F20" s="42"/>
    </row>
    <row r="21" customFormat="false" ht="9.75" hidden="false" customHeight="true" outlineLevel="0" collapsed="false"/>
    <row r="22" customFormat="false" ht="19.5" hidden="false" customHeight="true" outlineLevel="0" collapsed="false">
      <c r="B22" s="20" t="s">
        <v>116</v>
      </c>
      <c r="C22" s="20"/>
      <c r="D22" s="20"/>
      <c r="E22" s="20"/>
      <c r="F22" s="20"/>
    </row>
    <row r="23" customFormat="false" ht="18" hidden="false" customHeight="true" outlineLevel="0" collapsed="false">
      <c r="B23" s="43" t="s">
        <v>117</v>
      </c>
      <c r="C23" s="43" t="s">
        <v>118</v>
      </c>
      <c r="D23" s="43" t="s">
        <v>119</v>
      </c>
      <c r="E23" s="43" t="s">
        <v>120</v>
      </c>
      <c r="F23" s="43" t="s">
        <v>121</v>
      </c>
    </row>
    <row r="24" customFormat="false" ht="18" hidden="false" customHeight="true" outlineLevel="0" collapsed="false">
      <c r="B24" s="44" t="s">
        <v>122</v>
      </c>
      <c r="C24" s="45" t="s">
        <v>123</v>
      </c>
      <c r="D24" s="45" t="s">
        <v>124</v>
      </c>
      <c r="E24" s="45" t="s">
        <v>125</v>
      </c>
      <c r="F24" s="45" t="s">
        <v>126</v>
      </c>
    </row>
    <row r="25" customFormat="false" ht="18" hidden="false" customHeight="true" outlineLevel="0" collapsed="false">
      <c r="B25" s="46" t="s">
        <v>127</v>
      </c>
      <c r="C25" s="47" t="s">
        <v>128</v>
      </c>
      <c r="D25" s="47" t="s">
        <v>129</v>
      </c>
      <c r="E25" s="47" t="s">
        <v>130</v>
      </c>
      <c r="F25" s="47" t="s">
        <v>126</v>
      </c>
    </row>
    <row r="26" customFormat="false" ht="18" hidden="false" customHeight="true" outlineLevel="0" collapsed="false">
      <c r="B26" s="44" t="s">
        <v>131</v>
      </c>
      <c r="C26" s="45" t="s">
        <v>132</v>
      </c>
      <c r="D26" s="45" t="s">
        <v>133</v>
      </c>
      <c r="E26" s="45" t="s">
        <v>134</v>
      </c>
      <c r="F26" s="45" t="s">
        <v>126</v>
      </c>
    </row>
    <row r="27" customFormat="false" ht="18" hidden="false" customHeight="true" outlineLevel="0" collapsed="false">
      <c r="B27" s="46" t="s">
        <v>135</v>
      </c>
      <c r="C27" s="47" t="s">
        <v>136</v>
      </c>
      <c r="D27" s="47" t="s">
        <v>137</v>
      </c>
      <c r="E27" s="47" t="s">
        <v>134</v>
      </c>
      <c r="F27" s="47" t="s">
        <v>126</v>
      </c>
    </row>
    <row r="29" customFormat="false" ht="13.5" hidden="false" customHeight="true" outlineLevel="0" collapsed="false">
      <c r="B29" s="35" t="s">
        <v>138</v>
      </c>
      <c r="C29" s="35"/>
      <c r="D29" s="35"/>
      <c r="E29" s="35"/>
      <c r="F29" s="35"/>
    </row>
    <row r="31" customFormat="false" ht="7.5" hidden="false" customHeight="true" outlineLevel="0" collapsed="false"/>
    <row r="32" customFormat="false" ht="18" hidden="false" customHeight="true" outlineLevel="0" collapsed="false">
      <c r="A32" s="14" t="s">
        <v>30</v>
      </c>
      <c r="B32" s="14"/>
      <c r="C32" s="14"/>
      <c r="D32" s="14"/>
      <c r="E32" s="14"/>
      <c r="F32" s="14"/>
      <c r="G32" s="14"/>
      <c r="H32" s="14"/>
    </row>
    <row r="33" customFormat="false" ht="15.75" hidden="false" customHeight="true" outlineLevel="0" collapsed="false">
      <c r="A33" s="15" t="s">
        <v>2</v>
      </c>
      <c r="B33" s="15"/>
      <c r="C33" s="15"/>
      <c r="D33" s="15"/>
      <c r="E33" s="15"/>
      <c r="F33" s="15"/>
      <c r="G33" s="15"/>
      <c r="H33" s="15"/>
    </row>
    <row r="34" customFormat="false" ht="13.5" hidden="false" customHeight="true" outlineLevel="0" collapsed="false">
      <c r="A34" s="16" t="s">
        <v>31</v>
      </c>
      <c r="B34" s="16"/>
      <c r="C34" s="16"/>
      <c r="D34" s="16"/>
      <c r="E34" s="16"/>
      <c r="F34" s="16"/>
      <c r="G34" s="16"/>
      <c r="H34" s="16"/>
    </row>
  </sheetData>
  <mergeCells count="19">
    <mergeCell ref="A2:H2"/>
    <mergeCell ref="A3:H3"/>
    <mergeCell ref="B5:F5"/>
    <mergeCell ref="E9:F9"/>
    <mergeCell ref="E10:F10"/>
    <mergeCell ref="E11:F11"/>
    <mergeCell ref="E12:F12"/>
    <mergeCell ref="E13:F13"/>
    <mergeCell ref="B15:F15"/>
    <mergeCell ref="E16:F16"/>
    <mergeCell ref="E17:F17"/>
    <mergeCell ref="E18:F18"/>
    <mergeCell ref="E19:F19"/>
    <mergeCell ref="C20:F20"/>
    <mergeCell ref="B22:F22"/>
    <mergeCell ref="B29:F29"/>
    <mergeCell ref="A32:H32"/>
    <mergeCell ref="A33:H33"/>
    <mergeCell ref="A34:H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3"/>
    <col collapsed="false" customWidth="true" hidden="false" outlineLevel="0" max="5" min="5" style="0" width="30"/>
    <col collapsed="false" customWidth="true" hidden="false" outlineLevel="0" max="6" min="6" style="0" width="16"/>
    <col collapsed="false" customWidth="true" hidden="false" outlineLevel="0" max="7" min="7" style="0" width="3"/>
  </cols>
  <sheetData>
    <row r="1" customFormat="false" ht="13.5" hidden="false" customHeight="true" outlineLevel="0" collapsed="false"/>
    <row r="2" customFormat="false" ht="33.75" hidden="false" customHeight="true" outlineLevel="0" collapsed="false">
      <c r="A2" s="18" t="s">
        <v>139</v>
      </c>
      <c r="B2" s="18"/>
      <c r="C2" s="18"/>
      <c r="D2" s="18"/>
      <c r="E2" s="18"/>
      <c r="F2" s="18"/>
      <c r="G2" s="18"/>
      <c r="H2" s="18"/>
    </row>
    <row r="3" customFormat="false" ht="18" hidden="false" customHeight="true" outlineLevel="0" collapsed="false">
      <c r="A3" s="19" t="s">
        <v>140</v>
      </c>
      <c r="B3" s="19"/>
      <c r="C3" s="19"/>
      <c r="D3" s="19"/>
      <c r="E3" s="19"/>
      <c r="F3" s="19"/>
      <c r="G3" s="19"/>
      <c r="H3" s="19"/>
    </row>
    <row r="4" customFormat="false" ht="7.5" hidden="false" customHeight="true" outlineLevel="0" collapsed="false"/>
    <row r="5" customFormat="false" ht="19.5" hidden="false" customHeight="true" outlineLevel="0" collapsed="false">
      <c r="B5" s="20" t="s">
        <v>141</v>
      </c>
      <c r="C5" s="20"/>
      <c r="D5" s="20"/>
      <c r="E5" s="20"/>
      <c r="F5" s="20"/>
    </row>
    <row r="6" customFormat="false" ht="21.75" hidden="false" customHeight="true" outlineLevel="0" collapsed="false">
      <c r="B6" s="21" t="s">
        <v>142</v>
      </c>
      <c r="C6" s="22" t="n">
        <v>300</v>
      </c>
      <c r="E6" s="23" t="s">
        <v>143</v>
      </c>
      <c r="F6" s="23"/>
    </row>
    <row r="7" customFormat="false" ht="21.75" hidden="false" customHeight="true" outlineLevel="0" collapsed="false">
      <c r="B7" s="21" t="s">
        <v>144</v>
      </c>
      <c r="C7" s="22" t="n">
        <v>6</v>
      </c>
    </row>
    <row r="8" customFormat="false" ht="21.75" hidden="false" customHeight="true" outlineLevel="0" collapsed="false">
      <c r="B8" s="21" t="s">
        <v>145</v>
      </c>
      <c r="C8" s="22" t="n">
        <v>5</v>
      </c>
    </row>
    <row r="9" customFormat="false" ht="21.75" hidden="false" customHeight="true" outlineLevel="0" collapsed="false">
      <c r="B9" s="21" t="s">
        <v>146</v>
      </c>
      <c r="C9" s="22" t="n">
        <v>2.8</v>
      </c>
    </row>
    <row r="10" customFormat="false" ht="21.75" hidden="false" customHeight="true" outlineLevel="0" collapsed="false">
      <c r="B10" s="21" t="s">
        <v>147</v>
      </c>
      <c r="C10" s="22" t="n">
        <v>0.85</v>
      </c>
      <c r="E10" s="23" t="s">
        <v>148</v>
      </c>
      <c r="F10" s="23"/>
    </row>
    <row r="11" customFormat="false" ht="21.75" hidden="false" customHeight="true" outlineLevel="0" collapsed="false">
      <c r="B11" s="21" t="s">
        <v>149</v>
      </c>
      <c r="C11" s="22" t="n">
        <v>0.5</v>
      </c>
      <c r="E11" s="23" t="s">
        <v>150</v>
      </c>
      <c r="F11" s="23"/>
    </row>
    <row r="12" customFormat="false" ht="21.75" hidden="false" customHeight="true" outlineLevel="0" collapsed="false">
      <c r="B12" s="21" t="s">
        <v>151</v>
      </c>
      <c r="C12" s="22" t="n">
        <v>0.3</v>
      </c>
      <c r="E12" s="23" t="s">
        <v>152</v>
      </c>
      <c r="F12" s="23"/>
    </row>
    <row r="13" customFormat="false" ht="21.75" hidden="false" customHeight="true" outlineLevel="0" collapsed="false">
      <c r="B13" s="21" t="s">
        <v>153</v>
      </c>
      <c r="C13" s="22" t="n">
        <v>0.8</v>
      </c>
      <c r="E13" s="23" t="s">
        <v>154</v>
      </c>
      <c r="F13" s="23"/>
    </row>
    <row r="14" customFormat="false" ht="21.75" hidden="false" customHeight="true" outlineLevel="0" collapsed="false">
      <c r="B14" s="21" t="s">
        <v>155</v>
      </c>
      <c r="C14" s="22" t="n">
        <v>1600</v>
      </c>
      <c r="E14" s="23" t="s">
        <v>156</v>
      </c>
      <c r="F14" s="23"/>
    </row>
    <row r="15" customFormat="false" ht="21.75" hidden="false" customHeight="true" outlineLevel="0" collapsed="false">
      <c r="B15" s="21" t="s">
        <v>157</v>
      </c>
      <c r="C15" s="22" t="n">
        <v>20</v>
      </c>
    </row>
    <row r="16" customFormat="false" ht="9.75" hidden="false" customHeight="true" outlineLevel="0" collapsed="false"/>
    <row r="17" customFormat="false" ht="19.5" hidden="false" customHeight="true" outlineLevel="0" collapsed="false">
      <c r="B17" s="20" t="s">
        <v>58</v>
      </c>
      <c r="C17" s="20"/>
      <c r="D17" s="20"/>
      <c r="E17" s="20"/>
      <c r="F17" s="20"/>
    </row>
    <row r="18" customFormat="false" ht="21.75" hidden="false" customHeight="true" outlineLevel="0" collapsed="false">
      <c r="B18" s="21" t="s">
        <v>158</v>
      </c>
      <c r="C18" s="48" t="n">
        <f aca="false">C7*C8</f>
        <v>30</v>
      </c>
    </row>
    <row r="19" customFormat="false" ht="21.75" hidden="false" customHeight="true" outlineLevel="0" collapsed="false">
      <c r="B19" s="21" t="s">
        <v>159</v>
      </c>
      <c r="C19" s="49" t="n">
        <f aca="false">C9-C10</f>
        <v>1.95</v>
      </c>
    </row>
    <row r="20" customFormat="false" ht="21.75" hidden="false" customHeight="true" outlineLevel="0" collapsed="false">
      <c r="B20" s="21" t="s">
        <v>160</v>
      </c>
      <c r="C20" s="27" t="n">
        <f aca="false">(C7*C8)/(C19*(C7+C8))</f>
        <v>1.3986013986014</v>
      </c>
    </row>
    <row r="21" customFormat="false" ht="21.75" hidden="false" customHeight="true" outlineLevel="0" collapsed="false">
      <c r="B21" s="21" t="s">
        <v>161</v>
      </c>
      <c r="C21" s="27" t="n">
        <f aca="false">MIN(0.85,MAX(0.3,0.23*LN(C20)*C11+0.15*C12+0.45*LN(C20)+0.1))</f>
        <v>0.334542096002793</v>
      </c>
    </row>
    <row r="22" customFormat="false" ht="21.75" hidden="false" customHeight="true" outlineLevel="0" collapsed="false">
      <c r="B22" s="21" t="s">
        <v>162</v>
      </c>
      <c r="C22" s="50" t="n">
        <f aca="false">C6*C18/(C21*C13)</f>
        <v>33628.0549874539</v>
      </c>
    </row>
    <row r="23" customFormat="false" ht="21.75" hidden="false" customHeight="true" outlineLevel="0" collapsed="false">
      <c r="B23" s="21" t="s">
        <v>163</v>
      </c>
      <c r="C23" s="51" t="n">
        <f aca="false">ROUNDUP(C22/C14,0)</f>
        <v>22</v>
      </c>
    </row>
    <row r="24" customFormat="false" ht="21.75" hidden="false" customHeight="true" outlineLevel="0" collapsed="false">
      <c r="B24" s="21" t="s">
        <v>164</v>
      </c>
      <c r="C24" s="52" t="n">
        <f aca="false">C23*C14*C21*C13/C18</f>
        <v>314.023514114622</v>
      </c>
    </row>
    <row r="25" customFormat="false" ht="21.75" hidden="false" customHeight="true" outlineLevel="0" collapsed="false">
      <c r="B25" s="21" t="s">
        <v>165</v>
      </c>
      <c r="C25" s="53" t="n">
        <f aca="false">C23*C15</f>
        <v>440</v>
      </c>
    </row>
    <row r="26" customFormat="false" ht="21.75" hidden="false" customHeight="true" outlineLevel="0" collapsed="false">
      <c r="B26" s="21" t="s">
        <v>166</v>
      </c>
      <c r="C26" s="54" t="n">
        <f aca="false">C25/C18</f>
        <v>14.6666666666667</v>
      </c>
    </row>
    <row r="27" customFormat="false" ht="9.75" hidden="false" customHeight="true" outlineLevel="0" collapsed="false"/>
    <row r="28" customFormat="false" ht="19.5" hidden="false" customHeight="true" outlineLevel="0" collapsed="false">
      <c r="B28" s="20" t="s">
        <v>167</v>
      </c>
      <c r="C28" s="20"/>
      <c r="D28" s="20"/>
      <c r="E28" s="20"/>
      <c r="F28" s="20"/>
    </row>
    <row r="29" customFormat="false" ht="18" hidden="false" customHeight="true" outlineLevel="0" collapsed="false">
      <c r="B29" s="43" t="s">
        <v>168</v>
      </c>
      <c r="C29" s="43"/>
      <c r="D29" s="43" t="s">
        <v>169</v>
      </c>
      <c r="E29" s="43" t="s">
        <v>170</v>
      </c>
      <c r="F29" s="43" t="s">
        <v>171</v>
      </c>
    </row>
    <row r="30" customFormat="false" ht="15.75" hidden="false" customHeight="true" outlineLevel="0" collapsed="false">
      <c r="B30" s="55" t="s">
        <v>172</v>
      </c>
      <c r="C30" s="55"/>
      <c r="D30" s="56" t="n">
        <v>100</v>
      </c>
      <c r="E30" s="56" t="n">
        <v>28</v>
      </c>
      <c r="F30" s="56" t="n">
        <v>40</v>
      </c>
    </row>
    <row r="31" customFormat="false" ht="15.75" hidden="false" customHeight="true" outlineLevel="0" collapsed="false">
      <c r="B31" s="57" t="s">
        <v>173</v>
      </c>
      <c r="C31" s="57"/>
      <c r="D31" s="58" t="n">
        <v>150</v>
      </c>
      <c r="E31" s="58" t="s">
        <v>174</v>
      </c>
      <c r="F31" s="58" t="n">
        <v>80</v>
      </c>
    </row>
    <row r="32" customFormat="false" ht="15.75" hidden="false" customHeight="true" outlineLevel="0" collapsed="false">
      <c r="B32" s="55" t="s">
        <v>175</v>
      </c>
      <c r="C32" s="55"/>
      <c r="D32" s="56" t="n">
        <v>300</v>
      </c>
      <c r="E32" s="56" t="n">
        <v>22</v>
      </c>
      <c r="F32" s="56" t="n">
        <v>80</v>
      </c>
    </row>
    <row r="33" customFormat="false" ht="15.75" hidden="false" customHeight="true" outlineLevel="0" collapsed="false">
      <c r="B33" s="57" t="s">
        <v>176</v>
      </c>
      <c r="C33" s="57"/>
      <c r="D33" s="58" t="n">
        <v>300</v>
      </c>
      <c r="E33" s="58" t="n">
        <v>19</v>
      </c>
      <c r="F33" s="58" t="n">
        <v>80</v>
      </c>
    </row>
    <row r="34" customFormat="false" ht="15.75" hidden="false" customHeight="true" outlineLevel="0" collapsed="false">
      <c r="B34" s="55" t="s">
        <v>177</v>
      </c>
      <c r="C34" s="55"/>
      <c r="D34" s="56" t="n">
        <v>500</v>
      </c>
      <c r="E34" s="56" t="n">
        <v>16</v>
      </c>
      <c r="F34" s="56" t="n">
        <v>80</v>
      </c>
    </row>
    <row r="35" customFormat="false" ht="15.75" hidden="false" customHeight="true" outlineLevel="0" collapsed="false">
      <c r="B35" s="57" t="s">
        <v>178</v>
      </c>
      <c r="C35" s="57"/>
      <c r="D35" s="58" t="n">
        <v>300</v>
      </c>
      <c r="E35" s="58" t="n">
        <v>19</v>
      </c>
      <c r="F35" s="58" t="n">
        <v>80</v>
      </c>
    </row>
    <row r="36" customFormat="false" ht="15.75" hidden="false" customHeight="true" outlineLevel="0" collapsed="false">
      <c r="B36" s="55" t="s">
        <v>179</v>
      </c>
      <c r="C36" s="55"/>
      <c r="D36" s="56" t="n">
        <v>500</v>
      </c>
      <c r="E36" s="56" t="n">
        <v>19</v>
      </c>
      <c r="F36" s="56" t="n">
        <v>80</v>
      </c>
    </row>
    <row r="37" customFormat="false" ht="15.75" hidden="false" customHeight="true" outlineLevel="0" collapsed="false">
      <c r="B37" s="57" t="s">
        <v>180</v>
      </c>
      <c r="C37" s="57"/>
      <c r="D37" s="58" t="n">
        <v>300</v>
      </c>
      <c r="E37" s="58" t="n">
        <v>22</v>
      </c>
      <c r="F37" s="58" t="n">
        <v>80</v>
      </c>
    </row>
    <row r="38" customFormat="false" ht="15.75" hidden="false" customHeight="true" outlineLevel="0" collapsed="false">
      <c r="B38" s="55" t="s">
        <v>181</v>
      </c>
      <c r="C38" s="55"/>
      <c r="D38" s="56" t="n">
        <v>100</v>
      </c>
      <c r="E38" s="56" t="n">
        <v>25</v>
      </c>
      <c r="F38" s="56" t="n">
        <v>60</v>
      </c>
    </row>
    <row r="39" customFormat="false" ht="15.75" hidden="false" customHeight="true" outlineLevel="0" collapsed="false">
      <c r="B39" s="57" t="s">
        <v>182</v>
      </c>
      <c r="C39" s="57"/>
      <c r="D39" s="58" t="n">
        <v>300</v>
      </c>
      <c r="E39" s="58" t="n">
        <v>22</v>
      </c>
      <c r="F39" s="58" t="n">
        <v>80</v>
      </c>
    </row>
    <row r="40" customFormat="false" ht="15.75" hidden="false" customHeight="true" outlineLevel="0" collapsed="false">
      <c r="B40" s="55" t="s">
        <v>183</v>
      </c>
      <c r="C40" s="55"/>
      <c r="D40" s="56" t="n">
        <v>1000</v>
      </c>
      <c r="E40" s="56" t="n">
        <v>19</v>
      </c>
      <c r="F40" s="56" t="n">
        <v>90</v>
      </c>
    </row>
    <row r="41" customFormat="false" ht="15.75" hidden="false" customHeight="true" outlineLevel="0" collapsed="false">
      <c r="B41" s="57" t="s">
        <v>184</v>
      </c>
      <c r="C41" s="57"/>
      <c r="D41" s="58" t="n">
        <v>75</v>
      </c>
      <c r="E41" s="58" t="s">
        <v>174</v>
      </c>
      <c r="F41" s="58" t="n">
        <v>40</v>
      </c>
    </row>
    <row r="43" customFormat="false" ht="13.5" hidden="false" customHeight="true" outlineLevel="0" collapsed="false">
      <c r="B43" s="35" t="s">
        <v>185</v>
      </c>
      <c r="C43" s="35"/>
      <c r="D43" s="35"/>
      <c r="E43" s="35"/>
      <c r="F43" s="35"/>
    </row>
    <row r="45" customFormat="false" ht="7.5" hidden="false" customHeight="true" outlineLevel="0" collapsed="false"/>
    <row r="46" customFormat="false" ht="18" hidden="false" customHeight="true" outlineLevel="0" collapsed="false">
      <c r="A46" s="14" t="s">
        <v>30</v>
      </c>
      <c r="B46" s="14"/>
      <c r="C46" s="14"/>
      <c r="D46" s="14"/>
      <c r="E46" s="14"/>
      <c r="F46" s="14"/>
      <c r="G46" s="14"/>
      <c r="H46" s="14"/>
    </row>
    <row r="47" customFormat="false" ht="15.75" hidden="false" customHeight="true" outlineLevel="0" collapsed="false">
      <c r="A47" s="15" t="s">
        <v>2</v>
      </c>
      <c r="B47" s="15"/>
      <c r="C47" s="15"/>
      <c r="D47" s="15"/>
      <c r="E47" s="15"/>
      <c r="F47" s="15"/>
      <c r="G47" s="15"/>
      <c r="H47" s="15"/>
    </row>
    <row r="48" customFormat="false" ht="13.5" hidden="false" customHeight="true" outlineLevel="0" collapsed="false">
      <c r="A48" s="16" t="s">
        <v>31</v>
      </c>
      <c r="B48" s="16"/>
      <c r="C48" s="16"/>
      <c r="D48" s="16"/>
      <c r="E48" s="16"/>
      <c r="F48" s="16"/>
      <c r="G48" s="16"/>
      <c r="H48" s="16"/>
    </row>
  </sheetData>
  <mergeCells count="28">
    <mergeCell ref="A2:H2"/>
    <mergeCell ref="A3:H3"/>
    <mergeCell ref="B5:F5"/>
    <mergeCell ref="E6:F6"/>
    <mergeCell ref="E10:F10"/>
    <mergeCell ref="E11:F11"/>
    <mergeCell ref="E12:F12"/>
    <mergeCell ref="E13:F13"/>
    <mergeCell ref="E14:F14"/>
    <mergeCell ref="B17:F17"/>
    <mergeCell ref="B28:F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3:F43"/>
    <mergeCell ref="A46:H46"/>
    <mergeCell ref="A47:H47"/>
    <mergeCell ref="A48:H4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3"/>
    <col collapsed="false" customWidth="true" hidden="false" outlineLevel="0" max="5" min="5" style="0" width="32"/>
    <col collapsed="false" customWidth="true" hidden="false" outlineLevel="0" max="6" min="6" style="0" width="14"/>
    <col collapsed="false" customWidth="true" hidden="false" outlineLevel="0" max="7" min="7" style="0" width="3"/>
  </cols>
  <sheetData>
    <row r="1" customFormat="false" ht="13.5" hidden="false" customHeight="true" outlineLevel="0" collapsed="false"/>
    <row r="2" customFormat="false" ht="33.75" hidden="false" customHeight="true" outlineLevel="0" collapsed="false">
      <c r="A2" s="18" t="s">
        <v>186</v>
      </c>
      <c r="B2" s="18"/>
      <c r="C2" s="18"/>
      <c r="D2" s="18"/>
      <c r="E2" s="18"/>
      <c r="F2" s="18"/>
      <c r="G2" s="18"/>
      <c r="H2" s="18"/>
    </row>
    <row r="3" customFormat="false" ht="18" hidden="false" customHeight="true" outlineLevel="0" collapsed="false">
      <c r="A3" s="19" t="s">
        <v>187</v>
      </c>
      <c r="B3" s="19"/>
      <c r="C3" s="19"/>
      <c r="D3" s="19"/>
      <c r="E3" s="19"/>
      <c r="F3" s="19"/>
      <c r="G3" s="19"/>
      <c r="H3" s="19"/>
    </row>
    <row r="4" customFormat="false" ht="7.5" hidden="false" customHeight="true" outlineLevel="0" collapsed="false"/>
    <row r="5" customFormat="false" ht="19.5" hidden="false" customHeight="true" outlineLevel="0" collapsed="false">
      <c r="B5" s="20" t="s">
        <v>36</v>
      </c>
      <c r="C5" s="20"/>
      <c r="D5" s="20"/>
      <c r="E5" s="20"/>
      <c r="F5" s="20"/>
    </row>
    <row r="6" customFormat="false" ht="21.75" hidden="false" customHeight="true" outlineLevel="0" collapsed="false">
      <c r="B6" s="21" t="s">
        <v>188</v>
      </c>
      <c r="C6" s="22" t="n">
        <v>400</v>
      </c>
      <c r="E6" s="23" t="s">
        <v>189</v>
      </c>
      <c r="F6" s="23"/>
    </row>
    <row r="7" customFormat="false" ht="21.75" hidden="false" customHeight="true" outlineLevel="0" collapsed="false">
      <c r="B7" s="21" t="s">
        <v>190</v>
      </c>
      <c r="C7" s="22" t="n">
        <v>1.05</v>
      </c>
      <c r="E7" s="23" t="s">
        <v>191</v>
      </c>
      <c r="F7" s="23"/>
    </row>
    <row r="8" customFormat="false" ht="21.75" hidden="false" customHeight="true" outlineLevel="0" collapsed="false">
      <c r="B8" s="21" t="s">
        <v>192</v>
      </c>
      <c r="C8" s="22" t="n">
        <v>400</v>
      </c>
    </row>
    <row r="9" customFormat="false" ht="21.75" hidden="false" customHeight="true" outlineLevel="0" collapsed="false">
      <c r="B9" s="21" t="s">
        <v>193</v>
      </c>
      <c r="C9" s="22" t="n">
        <v>4</v>
      </c>
      <c r="E9" s="23" t="s">
        <v>194</v>
      </c>
      <c r="F9" s="23"/>
    </row>
    <row r="10" customFormat="false" ht="21.75" hidden="false" customHeight="true" outlineLevel="0" collapsed="false">
      <c r="B10" s="21" t="s">
        <v>51</v>
      </c>
      <c r="C10" s="22" t="n">
        <v>56</v>
      </c>
      <c r="E10" s="23" t="s">
        <v>52</v>
      </c>
      <c r="F10" s="23"/>
    </row>
    <row r="11" customFormat="false" ht="21.75" hidden="false" customHeight="true" outlineLevel="0" collapsed="false">
      <c r="B11" s="21" t="s">
        <v>195</v>
      </c>
      <c r="C11" s="22" t="n">
        <v>35</v>
      </c>
    </row>
    <row r="12" customFormat="false" ht="21.75" hidden="false" customHeight="true" outlineLevel="0" collapsed="false">
      <c r="B12" s="21" t="s">
        <v>196</v>
      </c>
      <c r="C12" s="22" t="n">
        <v>25</v>
      </c>
    </row>
    <row r="13" customFormat="false" ht="21.75" hidden="false" customHeight="true" outlineLevel="0" collapsed="false">
      <c r="B13" s="21" t="s">
        <v>42</v>
      </c>
      <c r="C13" s="22" t="n">
        <v>50</v>
      </c>
    </row>
    <row r="14" customFormat="false" ht="21.75" hidden="false" customHeight="true" outlineLevel="0" collapsed="false">
      <c r="B14" s="21" t="s">
        <v>197</v>
      </c>
      <c r="C14" s="22" t="n">
        <v>0.08</v>
      </c>
      <c r="E14" s="23" t="s">
        <v>198</v>
      </c>
      <c r="F14" s="23"/>
    </row>
    <row r="15" customFormat="false" ht="21.75" hidden="false" customHeight="true" outlineLevel="0" collapsed="false">
      <c r="B15" s="21" t="s">
        <v>199</v>
      </c>
      <c r="C15" s="22" t="n">
        <v>1</v>
      </c>
      <c r="E15" s="23" t="s">
        <v>200</v>
      </c>
      <c r="F15" s="23"/>
    </row>
    <row r="16" customFormat="false" ht="9.75" hidden="false" customHeight="true" outlineLevel="0" collapsed="false"/>
    <row r="17" customFormat="false" ht="19.5" hidden="false" customHeight="true" outlineLevel="0" collapsed="false">
      <c r="B17" s="20" t="s">
        <v>201</v>
      </c>
      <c r="C17" s="20"/>
      <c r="D17" s="20"/>
      <c r="E17" s="20"/>
      <c r="F17" s="20"/>
    </row>
    <row r="18" customFormat="false" ht="19.5" hidden="false" customHeight="true" outlineLevel="0" collapsed="false">
      <c r="B18" s="21" t="s">
        <v>202</v>
      </c>
      <c r="C18" s="59" t="n">
        <f aca="false">(C9/100)*C6^2/(C8*1000)*1000</f>
        <v>16</v>
      </c>
      <c r="E18" s="23" t="s">
        <v>203</v>
      </c>
      <c r="F18" s="23"/>
    </row>
    <row r="19" customFormat="false" ht="19.5" hidden="false" customHeight="true" outlineLevel="0" collapsed="false">
      <c r="B19" s="21" t="s">
        <v>204</v>
      </c>
      <c r="C19" s="59" t="n">
        <f aca="false">C15*(C13/(C10*C11))*1000</f>
        <v>25.5102040816327</v>
      </c>
      <c r="E19" s="23" t="s">
        <v>205</v>
      </c>
      <c r="F19" s="23"/>
    </row>
    <row r="20" customFormat="false" ht="19.5" hidden="false" customHeight="true" outlineLevel="0" collapsed="false">
      <c r="B20" s="21" t="s">
        <v>206</v>
      </c>
      <c r="C20" s="59" t="n">
        <f aca="false">C15*(C13/(C10*C12))*1000</f>
        <v>35.7142857142857</v>
      </c>
      <c r="E20" s="23" t="s">
        <v>207</v>
      </c>
      <c r="F20" s="23"/>
    </row>
    <row r="21" customFormat="false" ht="19.5" hidden="false" customHeight="true" outlineLevel="0" collapsed="false">
      <c r="B21" s="21" t="s">
        <v>208</v>
      </c>
      <c r="C21" s="59" t="n">
        <f aca="false">C14*C13</f>
        <v>4</v>
      </c>
      <c r="E21" s="23" t="s">
        <v>209</v>
      </c>
      <c r="F21" s="23"/>
    </row>
    <row r="22" customFormat="false" ht="19.5" hidden="false" customHeight="true" outlineLevel="0" collapsed="false">
      <c r="B22" s="21" t="s">
        <v>210</v>
      </c>
      <c r="C22" s="59" t="n">
        <f aca="false">C18*0.3+C19</f>
        <v>30.3102040816327</v>
      </c>
      <c r="E22" s="23" t="s">
        <v>211</v>
      </c>
      <c r="F22" s="23"/>
    </row>
    <row r="23" customFormat="false" ht="19.5" hidden="false" customHeight="true" outlineLevel="0" collapsed="false">
      <c r="B23" s="21" t="s">
        <v>212</v>
      </c>
      <c r="C23" s="59" t="n">
        <f aca="false">C18*0.95+C21</f>
        <v>19.2</v>
      </c>
      <c r="E23" s="23" t="s">
        <v>213</v>
      </c>
      <c r="F23" s="23"/>
    </row>
    <row r="24" customFormat="false" ht="19.5" hidden="false" customHeight="true" outlineLevel="0" collapsed="false">
      <c r="B24" s="21" t="s">
        <v>214</v>
      </c>
      <c r="C24" s="59" t="n">
        <f aca="false">SQRT(C22^2+C23^2)</f>
        <v>35.8796386753019</v>
      </c>
      <c r="E24" s="23" t="s">
        <v>215</v>
      </c>
      <c r="F24" s="23"/>
    </row>
    <row r="25" customFormat="false" ht="19.5" hidden="false" customHeight="true" outlineLevel="0" collapsed="false">
      <c r="B25" s="21" t="s">
        <v>216</v>
      </c>
      <c r="C25" s="59" t="n">
        <f aca="false">SQRT((C18*0.3+C19+C20)^2+(C18*0.95+C21*1.5)^2)</f>
        <v>69.3445978632174</v>
      </c>
      <c r="E25" s="23" t="s">
        <v>217</v>
      </c>
      <c r="F25" s="23"/>
    </row>
    <row r="26" customFormat="false" ht="9.75" hidden="false" customHeight="true" outlineLevel="0" collapsed="false"/>
    <row r="27" customFormat="false" ht="19.5" hidden="false" customHeight="true" outlineLevel="0" collapsed="false">
      <c r="B27" s="20" t="s">
        <v>218</v>
      </c>
      <c r="C27" s="20"/>
      <c r="D27" s="20"/>
      <c r="E27" s="20"/>
      <c r="F27" s="20"/>
    </row>
    <row r="28" customFormat="false" ht="24" hidden="false" customHeight="true" outlineLevel="0" collapsed="false">
      <c r="B28" s="21" t="s">
        <v>219</v>
      </c>
      <c r="C28" s="60" t="n">
        <f aca="false">C7*C6/(SQRT(3)*C18/1000)/1000</f>
        <v>15.1554445662277</v>
      </c>
    </row>
    <row r="29" customFormat="false" ht="24" hidden="false" customHeight="true" outlineLevel="0" collapsed="false">
      <c r="B29" s="21" t="s">
        <v>220</v>
      </c>
      <c r="C29" s="60" t="n">
        <f aca="false">C7*C6/(SQRT(3)*C24/1000)/1000</f>
        <v>6.75834880206197</v>
      </c>
    </row>
    <row r="30" customFormat="false" ht="24" hidden="false" customHeight="true" outlineLevel="0" collapsed="false">
      <c r="B30" s="21" t="s">
        <v>221</v>
      </c>
      <c r="C30" s="61" t="n">
        <f aca="false">C7*230/(C25/1000)/1000</f>
        <v>3.48260726057364</v>
      </c>
    </row>
    <row r="31" customFormat="false" ht="27.75" hidden="false" customHeight="true" outlineLevel="0" collapsed="false">
      <c r="B31" s="41" t="s">
        <v>222</v>
      </c>
      <c r="C31" s="62" t="str">
        <f aca="false">"Prekidač: Icu ≥ "&amp;TEXT(C29,"0.00")&amp;" kA  |  Min k.s. (1ks): "&amp;TEXT(C30,"0.000")&amp;" kA  |  Trafo k.s.: "&amp;TEXT(C28,"0.00")&amp;" kA"</f>
        <v>Prekidač: Icu ≥ 6.76 kA  |  Min k.s. (1ks): 3.483 kA  |  Trafo k.s.: 15.16 kA</v>
      </c>
      <c r="D31" s="62"/>
      <c r="E31" s="62"/>
      <c r="F31" s="62"/>
    </row>
    <row r="33" customFormat="false" ht="13.5" hidden="false" customHeight="true" outlineLevel="0" collapsed="false">
      <c r="B33" s="35" t="s">
        <v>223</v>
      </c>
      <c r="C33" s="35"/>
      <c r="D33" s="35"/>
      <c r="E33" s="35"/>
      <c r="F33" s="35"/>
    </row>
    <row r="35" customFormat="false" ht="7.5" hidden="false" customHeight="true" outlineLevel="0" collapsed="false"/>
    <row r="36" customFormat="false" ht="18" hidden="false" customHeight="true" outlineLevel="0" collapsed="false">
      <c r="A36" s="14" t="s">
        <v>30</v>
      </c>
      <c r="B36" s="14"/>
      <c r="C36" s="14"/>
      <c r="D36" s="14"/>
      <c r="E36" s="14"/>
      <c r="F36" s="14"/>
      <c r="G36" s="14"/>
      <c r="H36" s="14"/>
    </row>
    <row r="37" customFormat="false" ht="15.75" hidden="false" customHeight="true" outlineLevel="0" collapsed="false">
      <c r="A37" s="15" t="s">
        <v>2</v>
      </c>
      <c r="B37" s="15"/>
      <c r="C37" s="15"/>
      <c r="D37" s="15"/>
      <c r="E37" s="15"/>
      <c r="F37" s="15"/>
      <c r="G37" s="15"/>
      <c r="H37" s="15"/>
    </row>
    <row r="38" customFormat="false" ht="13.5" hidden="false" customHeight="true" outlineLevel="0" collapsed="false">
      <c r="A38" s="16" t="s">
        <v>31</v>
      </c>
      <c r="B38" s="16"/>
      <c r="C38" s="16"/>
      <c r="D38" s="16"/>
      <c r="E38" s="16"/>
      <c r="F38" s="16"/>
      <c r="G38" s="16"/>
      <c r="H38" s="16"/>
    </row>
  </sheetData>
  <mergeCells count="24">
    <mergeCell ref="A2:H2"/>
    <mergeCell ref="A3:H3"/>
    <mergeCell ref="B5:F5"/>
    <mergeCell ref="E6:F6"/>
    <mergeCell ref="E7:F7"/>
    <mergeCell ref="E9:F9"/>
    <mergeCell ref="E10:F10"/>
    <mergeCell ref="E14:F14"/>
    <mergeCell ref="E15:F15"/>
    <mergeCell ref="B17:F17"/>
    <mergeCell ref="E18:F18"/>
    <mergeCell ref="E19:F19"/>
    <mergeCell ref="E20:F20"/>
    <mergeCell ref="E21:F21"/>
    <mergeCell ref="E22:F22"/>
    <mergeCell ref="E23:F23"/>
    <mergeCell ref="E24:F24"/>
    <mergeCell ref="E25:F25"/>
    <mergeCell ref="B27:F27"/>
    <mergeCell ref="C31:F31"/>
    <mergeCell ref="B33:F33"/>
    <mergeCell ref="A36:H36"/>
    <mergeCell ref="A37:H37"/>
    <mergeCell ref="A38:H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3"/>
    <col collapsed="false" customWidth="true" hidden="false" outlineLevel="0" max="5" min="5" style="0" width="32"/>
    <col collapsed="false" customWidth="true" hidden="false" outlineLevel="0" max="6" min="6" style="0" width="14"/>
    <col collapsed="false" customWidth="true" hidden="false" outlineLevel="0" max="7" min="7" style="0" width="3"/>
  </cols>
  <sheetData>
    <row r="1" customFormat="false" ht="13.5" hidden="false" customHeight="true" outlineLevel="0" collapsed="false"/>
    <row r="2" customFormat="false" ht="33.75" hidden="false" customHeight="true" outlineLevel="0" collapsed="false">
      <c r="A2" s="18" t="s">
        <v>224</v>
      </c>
      <c r="B2" s="18"/>
      <c r="C2" s="18"/>
      <c r="D2" s="18"/>
      <c r="E2" s="18"/>
      <c r="F2" s="18"/>
      <c r="G2" s="18"/>
      <c r="H2" s="18"/>
    </row>
    <row r="3" customFormat="false" ht="18" hidden="false" customHeight="true" outlineLevel="0" collapsed="false">
      <c r="A3" s="19" t="s">
        <v>225</v>
      </c>
      <c r="B3" s="19"/>
      <c r="C3" s="19"/>
      <c r="D3" s="19"/>
      <c r="E3" s="19"/>
      <c r="F3" s="19"/>
      <c r="G3" s="19"/>
      <c r="H3" s="19"/>
    </row>
    <row r="4" customFormat="false" ht="7.5" hidden="false" customHeight="true" outlineLevel="0" collapsed="false"/>
    <row r="5" customFormat="false" ht="19.5" hidden="false" customHeight="true" outlineLevel="0" collapsed="false">
      <c r="B5" s="20" t="s">
        <v>36</v>
      </c>
      <c r="C5" s="20"/>
      <c r="D5" s="20"/>
      <c r="E5" s="20"/>
      <c r="F5" s="20"/>
    </row>
    <row r="6" customFormat="false" ht="21.75" hidden="false" customHeight="true" outlineLevel="0" collapsed="false">
      <c r="B6" s="21" t="s">
        <v>226</v>
      </c>
      <c r="C6" s="22" t="n">
        <v>100</v>
      </c>
      <c r="E6" s="23" t="s">
        <v>227</v>
      </c>
      <c r="F6" s="23"/>
    </row>
    <row r="7" customFormat="false" ht="21.75" hidden="false" customHeight="true" outlineLevel="0" collapsed="false">
      <c r="B7" s="21" t="s">
        <v>37</v>
      </c>
      <c r="C7" s="22" t="n">
        <v>1</v>
      </c>
      <c r="E7" s="23" t="s">
        <v>228</v>
      </c>
      <c r="F7" s="23"/>
    </row>
    <row r="8" customFormat="false" ht="21.75" hidden="false" customHeight="true" outlineLevel="0" collapsed="false">
      <c r="B8" s="21" t="s">
        <v>229</v>
      </c>
      <c r="C8" s="22" t="n">
        <v>0.2</v>
      </c>
      <c r="E8" s="23" t="s">
        <v>230</v>
      </c>
      <c r="F8" s="23"/>
    </row>
    <row r="9" customFormat="false" ht="21.75" hidden="false" customHeight="true" outlineLevel="0" collapsed="false">
      <c r="B9" s="21" t="s">
        <v>231</v>
      </c>
      <c r="C9" s="22" t="n">
        <v>5</v>
      </c>
      <c r="E9" s="23" t="s">
        <v>232</v>
      </c>
      <c r="F9" s="23"/>
    </row>
    <row r="10" customFormat="false" ht="21.75" hidden="false" customHeight="true" outlineLevel="0" collapsed="false">
      <c r="B10" s="21" t="s">
        <v>233</v>
      </c>
      <c r="C10" s="22" t="n">
        <v>1.5</v>
      </c>
      <c r="E10" s="23" t="s">
        <v>234</v>
      </c>
      <c r="F10" s="23"/>
    </row>
    <row r="11" customFormat="false" ht="9.75" hidden="false" customHeight="true" outlineLevel="0" collapsed="false"/>
    <row r="12" customFormat="false" ht="19.5" hidden="false" customHeight="true" outlineLevel="0" collapsed="false">
      <c r="B12" s="20" t="s">
        <v>58</v>
      </c>
      <c r="C12" s="20"/>
      <c r="D12" s="20"/>
      <c r="E12" s="20"/>
      <c r="F12" s="20"/>
    </row>
    <row r="13" customFormat="false" ht="21.75" hidden="false" customHeight="true" outlineLevel="0" collapsed="false">
      <c r="B13" s="21" t="s">
        <v>235</v>
      </c>
      <c r="C13" s="63" t="n">
        <f aca="false">230*2*3.14159*50*(C8/1000000)*C6*C7*1000</f>
        <v>1445.1314</v>
      </c>
      <c r="E13" s="23" t="s">
        <v>236</v>
      </c>
      <c r="F13" s="23"/>
    </row>
    <row r="14" customFormat="false" ht="21.75" hidden="false" customHeight="true" outlineLevel="0" collapsed="false">
      <c r="B14" s="21" t="s">
        <v>237</v>
      </c>
      <c r="C14" s="63" t="n">
        <f aca="false">C9*C10</f>
        <v>7.5</v>
      </c>
      <c r="E14" s="23" t="s">
        <v>238</v>
      </c>
      <c r="F14" s="23"/>
    </row>
    <row r="15" customFormat="false" ht="21.75" hidden="false" customHeight="true" outlineLevel="0" collapsed="false">
      <c r="B15" s="21" t="s">
        <v>239</v>
      </c>
      <c r="C15" s="64" t="n">
        <f aca="false">C13+C14</f>
        <v>1452.6314</v>
      </c>
      <c r="E15" s="23" t="s">
        <v>240</v>
      </c>
      <c r="F15" s="23"/>
    </row>
    <row r="16" customFormat="false" ht="21.75" hidden="false" customHeight="true" outlineLevel="0" collapsed="false">
      <c r="B16" s="21" t="s">
        <v>241</v>
      </c>
      <c r="C16" s="64" t="n">
        <f aca="false">C15*2</f>
        <v>2905.2628</v>
      </c>
      <c r="E16" s="23" t="s">
        <v>242</v>
      </c>
      <c r="F16" s="23"/>
    </row>
    <row r="17" customFormat="false" ht="27.75" hidden="false" customHeight="true" outlineLevel="0" collapsed="false">
      <c r="B17" s="41" t="s">
        <v>243</v>
      </c>
      <c r="C17" s="42" t="str">
        <f aca="false">IF(C16&lt;=10,"10 mA – medicinski / posebna zaštita",IF(C16&lt;=30,"30 mA – standardna zaštita od el. udara",IF(C16&lt;=100,"100 mA – zaštita od požara (uz podređene 30 mA)","300 mA – zaštita od požara (uz podređene 100 mA i 30 mA)")))</f>
        <v>300 mA – zaštita od požara (uz podređene 100 mA i 30 mA)</v>
      </c>
      <c r="D17" s="42"/>
      <c r="E17" s="42"/>
      <c r="F17" s="42"/>
    </row>
    <row r="18" customFormat="false" ht="9.75" hidden="false" customHeight="true" outlineLevel="0" collapsed="false"/>
    <row r="19" customFormat="false" ht="19.5" hidden="false" customHeight="true" outlineLevel="0" collapsed="false">
      <c r="B19" s="20" t="s">
        <v>244</v>
      </c>
      <c r="C19" s="20"/>
      <c r="D19" s="20"/>
      <c r="E19" s="20"/>
      <c r="F19" s="20"/>
    </row>
    <row r="20" customFormat="false" ht="18" hidden="false" customHeight="true" outlineLevel="0" collapsed="false">
      <c r="B20" s="43" t="s">
        <v>245</v>
      </c>
      <c r="C20" s="43"/>
      <c r="D20" s="43" t="s">
        <v>246</v>
      </c>
      <c r="E20" s="43"/>
      <c r="F20" s="43" t="s">
        <v>247</v>
      </c>
      <c r="G20" s="43"/>
    </row>
    <row r="21" customFormat="false" ht="18" hidden="false" customHeight="true" outlineLevel="0" collapsed="false">
      <c r="B21" s="65" t="s">
        <v>248</v>
      </c>
      <c r="C21" s="65"/>
      <c r="D21" s="66" t="s">
        <v>249</v>
      </c>
      <c r="E21" s="66"/>
      <c r="F21" s="66" t="s">
        <v>250</v>
      </c>
      <c r="G21" s="66"/>
    </row>
    <row r="22" customFormat="false" ht="18" hidden="false" customHeight="true" outlineLevel="0" collapsed="false">
      <c r="B22" s="67" t="s">
        <v>251</v>
      </c>
      <c r="C22" s="67"/>
      <c r="D22" s="68" t="s">
        <v>252</v>
      </c>
      <c r="E22" s="68"/>
      <c r="F22" s="68" t="s">
        <v>253</v>
      </c>
      <c r="G22" s="68"/>
    </row>
    <row r="23" customFormat="false" ht="18" hidden="false" customHeight="true" outlineLevel="0" collapsed="false">
      <c r="B23" s="65" t="s">
        <v>254</v>
      </c>
      <c r="C23" s="65"/>
      <c r="D23" s="66" t="s">
        <v>255</v>
      </c>
      <c r="E23" s="66"/>
      <c r="F23" s="66" t="s">
        <v>256</v>
      </c>
      <c r="G23" s="66"/>
    </row>
    <row r="24" customFormat="false" ht="18" hidden="false" customHeight="true" outlineLevel="0" collapsed="false">
      <c r="B24" s="67" t="s">
        <v>257</v>
      </c>
      <c r="C24" s="67"/>
      <c r="D24" s="68" t="s">
        <v>258</v>
      </c>
      <c r="E24" s="68"/>
      <c r="F24" s="68" t="s">
        <v>259</v>
      </c>
      <c r="G24" s="68"/>
    </row>
    <row r="25" customFormat="false" ht="18" hidden="false" customHeight="true" outlineLevel="0" collapsed="false">
      <c r="B25" s="65" t="s">
        <v>260</v>
      </c>
      <c r="C25" s="65"/>
      <c r="D25" s="66" t="s">
        <v>261</v>
      </c>
      <c r="E25" s="66"/>
      <c r="F25" s="66" t="s">
        <v>262</v>
      </c>
      <c r="G25" s="66"/>
    </row>
    <row r="26" customFormat="false" ht="18" hidden="false" customHeight="true" outlineLevel="0" collapsed="false">
      <c r="B26" s="68" t="s">
        <v>263</v>
      </c>
      <c r="C26" s="68"/>
      <c r="D26" s="68" t="s">
        <v>264</v>
      </c>
      <c r="E26" s="68"/>
      <c r="F26" s="68" t="s">
        <v>265</v>
      </c>
      <c r="G26" s="68"/>
    </row>
    <row r="27" customFormat="false" ht="18" hidden="false" customHeight="true" outlineLevel="0" collapsed="false">
      <c r="B27" s="66" t="s">
        <v>266</v>
      </c>
      <c r="C27" s="66"/>
      <c r="D27" s="66" t="s">
        <v>267</v>
      </c>
      <c r="E27" s="66"/>
      <c r="F27" s="66" t="s">
        <v>268</v>
      </c>
      <c r="G27" s="66"/>
    </row>
    <row r="28" customFormat="false" ht="18" hidden="false" customHeight="true" outlineLevel="0" collapsed="false">
      <c r="B28" s="68" t="s">
        <v>269</v>
      </c>
      <c r="C28" s="68"/>
      <c r="D28" s="68" t="s">
        <v>270</v>
      </c>
      <c r="E28" s="68"/>
      <c r="F28" s="68" t="s">
        <v>271</v>
      </c>
      <c r="G28" s="68"/>
    </row>
    <row r="29" customFormat="false" ht="18" hidden="false" customHeight="true" outlineLevel="0" collapsed="false">
      <c r="B29" s="66" t="s">
        <v>272</v>
      </c>
      <c r="C29" s="66"/>
      <c r="D29" s="66" t="s">
        <v>273</v>
      </c>
      <c r="E29" s="66"/>
      <c r="F29" s="66" t="s">
        <v>274</v>
      </c>
      <c r="G29" s="66"/>
    </row>
    <row r="31" customFormat="false" ht="13.5" hidden="false" customHeight="true" outlineLevel="0" collapsed="false">
      <c r="B31" s="35" t="s">
        <v>275</v>
      </c>
      <c r="C31" s="35"/>
      <c r="D31" s="35"/>
      <c r="E31" s="35"/>
      <c r="F31" s="35"/>
    </row>
    <row r="33" customFormat="false" ht="7.5" hidden="false" customHeight="true" outlineLevel="0" collapsed="false"/>
    <row r="34" customFormat="false" ht="18" hidden="false" customHeight="true" outlineLevel="0" collapsed="false">
      <c r="A34" s="14" t="s">
        <v>30</v>
      </c>
      <c r="B34" s="14"/>
      <c r="C34" s="14"/>
      <c r="D34" s="14"/>
      <c r="E34" s="14"/>
      <c r="F34" s="14"/>
      <c r="G34" s="14"/>
      <c r="H34" s="14"/>
    </row>
    <row r="35" customFormat="false" ht="15.75" hidden="false" customHeight="true" outlineLevel="0" collapsed="false">
      <c r="A35" s="15" t="s">
        <v>2</v>
      </c>
      <c r="B35" s="15"/>
      <c r="C35" s="15"/>
      <c r="D35" s="15"/>
      <c r="E35" s="15"/>
      <c r="F35" s="15"/>
      <c r="G35" s="15"/>
      <c r="H35" s="15"/>
    </row>
    <row r="36" customFormat="false" ht="13.5" hidden="false" customHeight="true" outlineLevel="0" collapsed="false">
      <c r="A36" s="16" t="s">
        <v>31</v>
      </c>
      <c r="B36" s="16"/>
      <c r="C36" s="16"/>
      <c r="D36" s="16"/>
      <c r="E36" s="16"/>
      <c r="F36" s="16"/>
      <c r="G36" s="16"/>
      <c r="H36" s="16"/>
    </row>
  </sheetData>
  <mergeCells count="49">
    <mergeCell ref="A2:H2"/>
    <mergeCell ref="A3:H3"/>
    <mergeCell ref="B5:F5"/>
    <mergeCell ref="E6:F6"/>
    <mergeCell ref="E7:F7"/>
    <mergeCell ref="E8:F8"/>
    <mergeCell ref="E9:F9"/>
    <mergeCell ref="E10:F10"/>
    <mergeCell ref="B12:F12"/>
    <mergeCell ref="E13:F13"/>
    <mergeCell ref="E14:F14"/>
    <mergeCell ref="E15:F15"/>
    <mergeCell ref="E16:F16"/>
    <mergeCell ref="C17:F17"/>
    <mergeCell ref="B19:F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1:F31"/>
    <mergeCell ref="A34:H34"/>
    <mergeCell ref="A35:H35"/>
    <mergeCell ref="A36:H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3"/>
    <col collapsed="false" customWidth="true" hidden="false" outlineLevel="0" max="5" min="5" style="0" width="32"/>
    <col collapsed="false" customWidth="true" hidden="false" outlineLevel="0" max="6" min="6" style="0" width="14"/>
    <col collapsed="false" customWidth="true" hidden="false" outlineLevel="0" max="7" min="7" style="0" width="3"/>
  </cols>
  <sheetData>
    <row r="1" customFormat="false" ht="13.5" hidden="false" customHeight="true" outlineLevel="0" collapsed="false"/>
    <row r="2" customFormat="false" ht="33.75" hidden="false" customHeight="true" outlineLevel="0" collapsed="false">
      <c r="A2" s="69" t="s">
        <v>276</v>
      </c>
      <c r="B2" s="69"/>
      <c r="C2" s="69"/>
      <c r="D2" s="69"/>
      <c r="E2" s="69"/>
      <c r="F2" s="69"/>
      <c r="G2" s="69"/>
      <c r="H2" s="69"/>
    </row>
    <row r="3" customFormat="false" ht="18" hidden="false" customHeight="true" outlineLevel="0" collapsed="false">
      <c r="A3" s="70" t="s">
        <v>277</v>
      </c>
      <c r="B3" s="70"/>
      <c r="C3" s="70"/>
      <c r="D3" s="70"/>
      <c r="E3" s="70"/>
      <c r="F3" s="70"/>
      <c r="G3" s="70"/>
      <c r="H3" s="70"/>
    </row>
    <row r="4" customFormat="false" ht="7.5" hidden="false" customHeight="true" outlineLevel="0" collapsed="false"/>
    <row r="5" customFormat="false" ht="19.5" hidden="false" customHeight="true" outlineLevel="0" collapsed="false">
      <c r="B5" s="20" t="s">
        <v>278</v>
      </c>
      <c r="C5" s="20"/>
      <c r="D5" s="20"/>
      <c r="E5" s="20"/>
      <c r="F5" s="20"/>
    </row>
    <row r="6" customFormat="false" ht="21.75" hidden="false" customHeight="true" outlineLevel="0" collapsed="false">
      <c r="B6" s="21" t="s">
        <v>279</v>
      </c>
      <c r="C6" s="22" t="n">
        <v>24</v>
      </c>
      <c r="E6" s="23" t="s">
        <v>280</v>
      </c>
      <c r="F6" s="23"/>
    </row>
    <row r="7" customFormat="false" ht="21.75" hidden="false" customHeight="true" outlineLevel="0" collapsed="false">
      <c r="B7" s="21" t="s">
        <v>281</v>
      </c>
      <c r="C7" s="22" t="n">
        <v>16</v>
      </c>
      <c r="E7" s="23" t="s">
        <v>282</v>
      </c>
      <c r="F7" s="23"/>
    </row>
    <row r="8" customFormat="false" ht="21.75" hidden="false" customHeight="true" outlineLevel="0" collapsed="false">
      <c r="B8" s="21" t="s">
        <v>283</v>
      </c>
      <c r="C8" s="22" t="n">
        <v>500</v>
      </c>
      <c r="E8" s="23" t="s">
        <v>284</v>
      </c>
      <c r="F8" s="23"/>
    </row>
    <row r="9" customFormat="false" ht="21.75" hidden="false" customHeight="true" outlineLevel="0" collapsed="false">
      <c r="B9" s="21" t="s">
        <v>51</v>
      </c>
      <c r="C9" s="22" t="n">
        <v>56</v>
      </c>
      <c r="E9" s="23" t="s">
        <v>52</v>
      </c>
      <c r="F9" s="23"/>
    </row>
    <row r="10" customFormat="false" ht="21.75" hidden="false" customHeight="true" outlineLevel="0" collapsed="false">
      <c r="B10" s="21" t="s">
        <v>285</v>
      </c>
      <c r="C10" s="22" t="n">
        <v>1</v>
      </c>
      <c r="E10" s="23" t="s">
        <v>286</v>
      </c>
      <c r="F10" s="23"/>
    </row>
    <row r="11" customFormat="false" ht="21.75" hidden="false" customHeight="true" outlineLevel="0" collapsed="false">
      <c r="B11" s="21" t="s">
        <v>287</v>
      </c>
      <c r="C11" s="22" t="n">
        <v>300</v>
      </c>
      <c r="E11" s="23" t="s">
        <v>288</v>
      </c>
      <c r="F11" s="23"/>
    </row>
    <row r="12" customFormat="false" ht="9.75" hidden="false" customHeight="true" outlineLevel="0" collapsed="false"/>
    <row r="13" customFormat="false" ht="19.5" hidden="false" customHeight="true" outlineLevel="0" collapsed="false">
      <c r="B13" s="20" t="s">
        <v>289</v>
      </c>
      <c r="C13" s="20"/>
      <c r="D13" s="20"/>
      <c r="E13" s="20"/>
      <c r="F13" s="20"/>
    </row>
    <row r="14" customFormat="false" ht="21.75" hidden="false" customHeight="true" outlineLevel="0" collapsed="false">
      <c r="B14" s="21" t="s">
        <v>290</v>
      </c>
      <c r="C14" s="22" t="n">
        <v>20</v>
      </c>
      <c r="E14" s="23" t="s">
        <v>291</v>
      </c>
      <c r="F14" s="23"/>
    </row>
    <row r="15" customFormat="false" ht="21.75" hidden="false" customHeight="true" outlineLevel="0" collapsed="false">
      <c r="B15" s="21" t="s">
        <v>292</v>
      </c>
      <c r="C15" s="22" t="n">
        <v>0</v>
      </c>
      <c r="E15" s="23" t="s">
        <v>293</v>
      </c>
      <c r="F15" s="23"/>
    </row>
    <row r="16" customFormat="false" ht="21.75" hidden="false" customHeight="true" outlineLevel="0" collapsed="false">
      <c r="B16" s="21" t="s">
        <v>294</v>
      </c>
      <c r="C16" s="22" t="n">
        <v>0</v>
      </c>
      <c r="E16" s="23" t="s">
        <v>291</v>
      </c>
      <c r="F16" s="23"/>
    </row>
    <row r="17" customFormat="false" ht="21.75" hidden="false" customHeight="true" outlineLevel="0" collapsed="false">
      <c r="B17" s="21" t="s">
        <v>295</v>
      </c>
      <c r="C17" s="22" t="n">
        <v>4</v>
      </c>
      <c r="E17" s="23" t="s">
        <v>296</v>
      </c>
      <c r="F17" s="23"/>
    </row>
    <row r="18" customFormat="false" ht="21.75" hidden="false" customHeight="true" outlineLevel="0" collapsed="false">
      <c r="B18" s="21" t="s">
        <v>297</v>
      </c>
      <c r="C18" s="22" t="n">
        <v>0</v>
      </c>
      <c r="E18" s="23" t="s">
        <v>298</v>
      </c>
      <c r="F18" s="23"/>
    </row>
    <row r="19" customFormat="false" ht="21.75" hidden="false" customHeight="true" outlineLevel="0" collapsed="false">
      <c r="B19" s="21" t="s">
        <v>299</v>
      </c>
      <c r="C19" s="22" t="n">
        <v>2</v>
      </c>
    </row>
    <row r="20" customFormat="false" ht="21.75" hidden="false" customHeight="true" outlineLevel="0" collapsed="false">
      <c r="B20" s="21" t="s">
        <v>300</v>
      </c>
      <c r="C20" s="22" t="n">
        <v>40</v>
      </c>
      <c r="E20" s="23" t="s">
        <v>301</v>
      </c>
      <c r="F20" s="23"/>
    </row>
    <row r="21" customFormat="false" ht="9.75" hidden="false" customHeight="true" outlineLevel="0" collapsed="false"/>
    <row r="22" customFormat="false" ht="19.5" hidden="false" customHeight="true" outlineLevel="0" collapsed="false">
      <c r="B22" s="20" t="s">
        <v>58</v>
      </c>
      <c r="C22" s="20"/>
      <c r="D22" s="20"/>
      <c r="E22" s="20"/>
      <c r="F22" s="20"/>
    </row>
    <row r="23" customFormat="false" ht="21.75" hidden="false" customHeight="true" outlineLevel="0" collapsed="false">
      <c r="B23" s="21" t="s">
        <v>302</v>
      </c>
      <c r="C23" s="63" t="n">
        <f aca="false">C14*0.1+C15*0.15+C16*0.1+C17*0.05+C18*3</f>
        <v>2.2</v>
      </c>
      <c r="E23" s="23" t="s">
        <v>303</v>
      </c>
      <c r="F23" s="23"/>
    </row>
    <row r="24" customFormat="false" ht="21.75" hidden="false" customHeight="true" outlineLevel="0" collapsed="false">
      <c r="B24" s="21" t="s">
        <v>304</v>
      </c>
      <c r="C24" s="63" t="n">
        <f aca="false">C19*C20</f>
        <v>80</v>
      </c>
      <c r="E24" s="23" t="s">
        <v>305</v>
      </c>
      <c r="F24" s="23"/>
    </row>
    <row r="25" customFormat="false" ht="21.75" hidden="false" customHeight="true" outlineLevel="0" collapsed="false">
      <c r="B25" s="21" t="s">
        <v>306</v>
      </c>
      <c r="C25" s="63" t="n">
        <f aca="false">C23+C24</f>
        <v>82.2</v>
      </c>
      <c r="E25" s="23" t="s">
        <v>307</v>
      </c>
      <c r="F25" s="23"/>
    </row>
    <row r="26" customFormat="false" ht="21.75" hidden="false" customHeight="true" outlineLevel="0" collapsed="false">
      <c r="B26" s="21" t="s">
        <v>308</v>
      </c>
      <c r="C26" s="71" t="n">
        <f aca="false">2*C11/(C9*C10)</f>
        <v>10.7142857142857</v>
      </c>
      <c r="E26" s="23" t="s">
        <v>309</v>
      </c>
      <c r="F26" s="23"/>
    </row>
    <row r="27" customFormat="false" ht="21.75" hidden="false" customHeight="true" outlineLevel="0" collapsed="false">
      <c r="B27" s="21" t="s">
        <v>61</v>
      </c>
      <c r="C27" s="72" t="n">
        <f aca="false">C25/1000*C26</f>
        <v>0.880714285714286</v>
      </c>
      <c r="E27" s="23" t="s">
        <v>310</v>
      </c>
      <c r="F27" s="23"/>
    </row>
    <row r="28" customFormat="false" ht="21.75" hidden="false" customHeight="true" outlineLevel="0" collapsed="false">
      <c r="B28" s="21" t="s">
        <v>311</v>
      </c>
      <c r="C28" s="72" t="n">
        <f aca="false">C6-C27</f>
        <v>23.1192857142857</v>
      </c>
      <c r="E28" s="23" t="s">
        <v>312</v>
      </c>
      <c r="F28" s="23"/>
    </row>
    <row r="29" customFormat="false" ht="21.75" hidden="false" customHeight="true" outlineLevel="0" collapsed="false">
      <c r="B29" s="21" t="s">
        <v>313</v>
      </c>
      <c r="C29" s="73" t="n">
        <f aca="false">C25/C8*100</f>
        <v>16.44</v>
      </c>
      <c r="E29" s="23" t="s">
        <v>314</v>
      </c>
      <c r="F29" s="23"/>
    </row>
    <row r="30" customFormat="false" ht="21.75" hidden="false" customHeight="true" outlineLevel="0" collapsed="false">
      <c r="B30" s="41" t="s">
        <v>315</v>
      </c>
      <c r="C30" s="74" t="str">
        <f aca="false">IF(C28&gt;=C7,"✓  U_kraj "&amp;TEXT(C28,"0.00")&amp;" V  ≥  "&amp;TEXT(C7,"0")&amp;" V  – OK","✗  U_kraj "&amp;TEXT(C28,"0.00")&amp;" V  &lt;  "&amp;TEXT(C7,"0")&amp;" V  – PROBLEM!")</f>
        <v>✓  U_kraj 23.12 V  ≥  16 V  – OK</v>
      </c>
      <c r="D30" s="74"/>
      <c r="E30" s="74"/>
      <c r="F30" s="74"/>
    </row>
    <row r="31" customFormat="false" ht="21.75" hidden="false" customHeight="true" outlineLevel="0" collapsed="false">
      <c r="B31" s="41" t="s">
        <v>316</v>
      </c>
      <c r="C31" s="74" t="str">
        <f aca="false">IF(C25&lt;=C8,IF(C29&lt;=80,"✓  "&amp;TEXT(C25,"0.0")&amp;" mA  ("&amp;TEXT(C29,"0.0")&amp;"%)  – OK","⚠  "&amp;TEXT(C25,"0.0")&amp;" mA  ("&amp;TEXT(C29,"0.0")&amp;"%)  – preporuča se ≤80%!"),"✗  "&amp;TEXT(C25,"0.0")&amp;" mA  &gt;  "&amp;TEXT(C8,"0")&amp;" mA  – PREKORAČENO!")</f>
        <v>✓  82.2 mA  (16.4%)  – OK</v>
      </c>
      <c r="D31" s="74"/>
      <c r="E31" s="74"/>
      <c r="F31" s="74"/>
    </row>
    <row r="33" customFormat="false" ht="13.5" hidden="false" customHeight="true" outlineLevel="0" collapsed="false">
      <c r="B33" s="35" t="s">
        <v>317</v>
      </c>
      <c r="C33" s="35"/>
      <c r="D33" s="35"/>
      <c r="E33" s="35"/>
      <c r="F33" s="35"/>
    </row>
    <row r="35" customFormat="false" ht="7.5" hidden="false" customHeight="true" outlineLevel="0" collapsed="false"/>
    <row r="36" customFormat="false" ht="18" hidden="false" customHeight="true" outlineLevel="0" collapsed="false">
      <c r="A36" s="14" t="s">
        <v>30</v>
      </c>
      <c r="B36" s="14"/>
      <c r="C36" s="14"/>
      <c r="D36" s="14"/>
      <c r="E36" s="14"/>
      <c r="F36" s="14"/>
      <c r="G36" s="14"/>
      <c r="H36" s="14"/>
    </row>
    <row r="37" customFormat="false" ht="15.75" hidden="false" customHeight="true" outlineLevel="0" collapsed="false">
      <c r="A37" s="15" t="s">
        <v>2</v>
      </c>
      <c r="B37" s="15"/>
      <c r="C37" s="15"/>
      <c r="D37" s="15"/>
      <c r="E37" s="15"/>
      <c r="F37" s="15"/>
      <c r="G37" s="15"/>
      <c r="H37" s="15"/>
    </row>
    <row r="38" customFormat="false" ht="13.5" hidden="false" customHeight="true" outlineLevel="0" collapsed="false">
      <c r="A38" s="16" t="s">
        <v>31</v>
      </c>
      <c r="B38" s="16"/>
      <c r="C38" s="16"/>
      <c r="D38" s="16"/>
      <c r="E38" s="16"/>
      <c r="F38" s="16"/>
      <c r="G38" s="16"/>
      <c r="H38" s="16"/>
    </row>
  </sheetData>
  <mergeCells count="30">
    <mergeCell ref="A2:H2"/>
    <mergeCell ref="A3:H3"/>
    <mergeCell ref="B5:F5"/>
    <mergeCell ref="E6:F6"/>
    <mergeCell ref="E7:F7"/>
    <mergeCell ref="E8:F8"/>
    <mergeCell ref="E9:F9"/>
    <mergeCell ref="E10:F10"/>
    <mergeCell ref="E11:F11"/>
    <mergeCell ref="B13:F13"/>
    <mergeCell ref="E14:F14"/>
    <mergeCell ref="E15:F15"/>
    <mergeCell ref="E16:F16"/>
    <mergeCell ref="E17:F17"/>
    <mergeCell ref="E18:F18"/>
    <mergeCell ref="E20:F20"/>
    <mergeCell ref="B22:F22"/>
    <mergeCell ref="E23:F23"/>
    <mergeCell ref="E24:F24"/>
    <mergeCell ref="E25:F25"/>
    <mergeCell ref="E26:F26"/>
    <mergeCell ref="E27:F27"/>
    <mergeCell ref="E28:F28"/>
    <mergeCell ref="E29:F29"/>
    <mergeCell ref="C30:F30"/>
    <mergeCell ref="C31:F31"/>
    <mergeCell ref="B33:F33"/>
    <mergeCell ref="A36:H36"/>
    <mergeCell ref="A37:H37"/>
    <mergeCell ref="A38:H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2026-09-11T12:51:38Z</dcterms:created>
  <dc:creator>openpyxl</dc:creator>
  <dc:description/>
  <dc:language>en-US</dc:language>
  <cp:lastModifiedBy/>
  <dcterms:modified xsi:type="dcterms:W3CDTF">2026-09-11T12:51:38Z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